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PM User\Desktop\"/>
    </mc:Choice>
  </mc:AlternateContent>
  <xr:revisionPtr revIDLastSave="0" documentId="13_ncr:1_{2149BA3C-F271-4438-ADEB-DF8CA58C52F0}" xr6:coauthVersionLast="47" xr6:coauthVersionMax="47" xr10:uidLastSave="{00000000-0000-0000-0000-000000000000}"/>
  <bookViews>
    <workbookView xWindow="-28920" yWindow="-60" windowWidth="29040" windowHeight="15720" activeTab="2" xr2:uid="{00000000-000D-0000-FFFF-FFFF00000000}"/>
  </bookViews>
  <sheets>
    <sheet name="Instructions" sheetId="1" r:id="rId1"/>
    <sheet name="Budget COMPLETED example" sheetId="2" r:id="rId2"/>
    <sheet name="Budget Active WORKSHEET" sheetId="3" r:id="rId3"/>
    <sheet name="Reserves COMPLETED example" sheetId="4" r:id="rId4"/>
    <sheet name="Reserves Active WORKSHEET"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4" l="1"/>
  <c r="E76" i="4" s="1"/>
  <c r="F76" i="4" s="1"/>
  <c r="G76" i="4" s="1"/>
  <c r="H76" i="4" s="1"/>
  <c r="I76" i="4" s="1"/>
  <c r="J76" i="4" s="1"/>
  <c r="K76" i="4" s="1"/>
  <c r="L76" i="4" s="1"/>
  <c r="M76" i="4" s="1"/>
  <c r="B80" i="4" s="1"/>
  <c r="C80" i="4" s="1"/>
  <c r="D74" i="4"/>
  <c r="E74" i="4" s="1"/>
  <c r="F74" i="4" s="1"/>
  <c r="G74" i="4" s="1"/>
  <c r="H74" i="4" s="1"/>
  <c r="I74" i="4" s="1"/>
  <c r="J74" i="4" s="1"/>
  <c r="K74" i="4" s="1"/>
  <c r="L74" i="4" s="1"/>
  <c r="M74" i="4" s="1"/>
  <c r="B78" i="4" s="1"/>
  <c r="C78" i="4" s="1"/>
  <c r="D78" i="4" s="1"/>
  <c r="E78" i="4" s="1"/>
  <c r="F78" i="4" s="1"/>
  <c r="G78" i="4" s="1"/>
  <c r="H78" i="4" s="1"/>
  <c r="I78" i="4" s="1"/>
  <c r="J78" i="4" s="1"/>
  <c r="K78" i="4" s="1"/>
  <c r="M56" i="4"/>
  <c r="M59" i="4" s="1"/>
  <c r="L56" i="4"/>
  <c r="L60" i="4" s="1"/>
  <c r="K56" i="4"/>
  <c r="K61" i="4" s="1"/>
  <c r="J56" i="4"/>
  <c r="J62" i="4" s="1"/>
  <c r="I56" i="4"/>
  <c r="I59" i="4" s="1"/>
  <c r="H56" i="4"/>
  <c r="H60" i="4" s="1"/>
  <c r="G56" i="4"/>
  <c r="G61" i="4" s="1"/>
  <c r="F56" i="4"/>
  <c r="F62" i="4" s="1"/>
  <c r="M40" i="4"/>
  <c r="M46" i="4" s="1"/>
  <c r="L40" i="4"/>
  <c r="L43" i="4" s="1"/>
  <c r="K40" i="4"/>
  <c r="K44" i="4" s="1"/>
  <c r="J40" i="4"/>
  <c r="J45" i="4" s="1"/>
  <c r="I40" i="4"/>
  <c r="I46" i="4" s="1"/>
  <c r="H40" i="4"/>
  <c r="H43" i="4" s="1"/>
  <c r="G40" i="4"/>
  <c r="G44" i="4" s="1"/>
  <c r="F40" i="4"/>
  <c r="F45" i="4" s="1"/>
  <c r="D37" i="4"/>
  <c r="C37" i="4"/>
  <c r="B37" i="4"/>
  <c r="A37" i="4"/>
  <c r="A34" i="4"/>
  <c r="A53" i="4" s="1"/>
  <c r="A69" i="4" s="1"/>
  <c r="A33" i="4"/>
  <c r="A52" i="4" s="1"/>
  <c r="A68" i="4" s="1"/>
  <c r="A32" i="4"/>
  <c r="A51" i="4" s="1"/>
  <c r="A67" i="4" s="1"/>
  <c r="A31" i="4"/>
  <c r="A50" i="4" s="1"/>
  <c r="A66" i="4" s="1"/>
  <c r="A30" i="4"/>
  <c r="A49" i="4" s="1"/>
  <c r="A65" i="4" s="1"/>
  <c r="L27" i="4"/>
  <c r="D27" i="4"/>
  <c r="D46" i="4" s="1"/>
  <c r="D62" i="4" s="1"/>
  <c r="C27" i="4"/>
  <c r="C46" i="4" s="1"/>
  <c r="C62" i="4" s="1"/>
  <c r="B27" i="4"/>
  <c r="B46" i="4" s="1"/>
  <c r="A27" i="4"/>
  <c r="A46" i="4" s="1"/>
  <c r="A62" i="4" s="1"/>
  <c r="BJ26" i="4"/>
  <c r="BF26" i="4"/>
  <c r="BB26" i="4"/>
  <c r="AX26" i="4"/>
  <c r="AT26" i="4"/>
  <c r="AP26" i="4"/>
  <c r="AL26" i="4"/>
  <c r="AH26" i="4"/>
  <c r="AD26" i="4"/>
  <c r="J26" i="4"/>
  <c r="F26" i="4"/>
  <c r="D26" i="4"/>
  <c r="D45" i="4" s="1"/>
  <c r="D61" i="4" s="1"/>
  <c r="C26" i="4"/>
  <c r="C45" i="4" s="1"/>
  <c r="C61" i="4" s="1"/>
  <c r="B26" i="4"/>
  <c r="B45" i="4" s="1"/>
  <c r="A26" i="4"/>
  <c r="A45" i="4" s="1"/>
  <c r="A61" i="4" s="1"/>
  <c r="AV25" i="4"/>
  <c r="D25" i="4"/>
  <c r="D44" i="4" s="1"/>
  <c r="D60" i="4" s="1"/>
  <c r="C25" i="4"/>
  <c r="C44" i="4" s="1"/>
  <c r="C60" i="4" s="1"/>
  <c r="B25" i="4"/>
  <c r="B44" i="4" s="1"/>
  <c r="A25" i="4"/>
  <c r="A44" i="4" s="1"/>
  <c r="A60" i="4" s="1"/>
  <c r="BJ24" i="4"/>
  <c r="BF24" i="4"/>
  <c r="BB24" i="4"/>
  <c r="AX24" i="4"/>
  <c r="AT24" i="4"/>
  <c r="AP24" i="4"/>
  <c r="AL24" i="4"/>
  <c r="AH24" i="4"/>
  <c r="AD24" i="4"/>
  <c r="J24" i="4"/>
  <c r="F24" i="4"/>
  <c r="D24" i="4"/>
  <c r="D43" i="4" s="1"/>
  <c r="D59" i="4" s="1"/>
  <c r="C24" i="4"/>
  <c r="C43" i="4" s="1"/>
  <c r="C59" i="4" s="1"/>
  <c r="B24" i="4"/>
  <c r="B43" i="4" s="1"/>
  <c r="A24" i="4"/>
  <c r="A43" i="4" s="1"/>
  <c r="A59" i="4" s="1"/>
  <c r="D23" i="4"/>
  <c r="D42" i="4" s="1"/>
  <c r="D58" i="4" s="1"/>
  <c r="C23" i="4"/>
  <c r="C42" i="4" s="1"/>
  <c r="C58" i="4" s="1"/>
  <c r="B23" i="4"/>
  <c r="B42" i="4" s="1"/>
  <c r="A23" i="4"/>
  <c r="A42" i="4" s="1"/>
  <c r="A58" i="4" s="1"/>
  <c r="BJ22" i="4"/>
  <c r="BI22" i="4"/>
  <c r="BF22" i="4"/>
  <c r="BE22" i="4"/>
  <c r="BB22" i="4"/>
  <c r="BA22" i="4"/>
  <c r="AX22" i="4"/>
  <c r="AW22" i="4"/>
  <c r="AT22" i="4"/>
  <c r="AS22" i="4"/>
  <c r="AP22" i="4"/>
  <c r="AO22" i="4"/>
  <c r="AL22" i="4"/>
  <c r="AK22" i="4"/>
  <c r="AH22" i="4"/>
  <c r="AG22" i="4"/>
  <c r="AD22" i="4"/>
  <c r="M22" i="4"/>
  <c r="J22" i="4"/>
  <c r="I22" i="4"/>
  <c r="F22" i="4"/>
  <c r="E22" i="4"/>
  <c r="D22" i="4"/>
  <c r="D41" i="4" s="1"/>
  <c r="D57" i="4" s="1"/>
  <c r="C22" i="4"/>
  <c r="C41" i="4" s="1"/>
  <c r="C57" i="4" s="1"/>
  <c r="B22" i="4"/>
  <c r="A22" i="4"/>
  <c r="A41" i="4" s="1"/>
  <c r="A57" i="4" s="1"/>
  <c r="BJ21" i="4"/>
  <c r="BJ27" i="4" s="1"/>
  <c r="BI21" i="4"/>
  <c r="BI26" i="4" s="1"/>
  <c r="BH21" i="4"/>
  <c r="BG21" i="4"/>
  <c r="BG27" i="4" s="1"/>
  <c r="BF21" i="4"/>
  <c r="BF27" i="4" s="1"/>
  <c r="BE21" i="4"/>
  <c r="BE26" i="4" s="1"/>
  <c r="BD21" i="4"/>
  <c r="BC21" i="4"/>
  <c r="BC27" i="4" s="1"/>
  <c r="BB21" i="4"/>
  <c r="BB27" i="4" s="1"/>
  <c r="BA21" i="4"/>
  <c r="BA26" i="4" s="1"/>
  <c r="AZ21" i="4"/>
  <c r="AY21" i="4"/>
  <c r="AY27" i="4" s="1"/>
  <c r="AX21" i="4"/>
  <c r="AX27" i="4" s="1"/>
  <c r="AW21" i="4"/>
  <c r="AW26" i="4" s="1"/>
  <c r="AV21" i="4"/>
  <c r="AU21" i="4"/>
  <c r="AU27" i="4" s="1"/>
  <c r="AT21" i="4"/>
  <c r="AT27" i="4" s="1"/>
  <c r="AS21" i="4"/>
  <c r="AS26" i="4" s="1"/>
  <c r="AR21" i="4"/>
  <c r="AQ21" i="4"/>
  <c r="AQ27" i="4" s="1"/>
  <c r="AP21" i="4"/>
  <c r="AP27" i="4" s="1"/>
  <c r="AO21" i="4"/>
  <c r="AO26" i="4" s="1"/>
  <c r="AN21" i="4"/>
  <c r="AM21" i="4"/>
  <c r="AM27" i="4" s="1"/>
  <c r="AL21" i="4"/>
  <c r="AL27" i="4" s="1"/>
  <c r="AK21" i="4"/>
  <c r="AK26" i="4" s="1"/>
  <c r="AJ21" i="4"/>
  <c r="AI21" i="4"/>
  <c r="AI27" i="4" s="1"/>
  <c r="AH21" i="4"/>
  <c r="AH27" i="4" s="1"/>
  <c r="AG21" i="4"/>
  <c r="AG26" i="4" s="1"/>
  <c r="AF21" i="4"/>
  <c r="AE21" i="4"/>
  <c r="AE27" i="4" s="1"/>
  <c r="AD21" i="4"/>
  <c r="AD27" i="4" s="1"/>
  <c r="M21" i="4"/>
  <c r="M26" i="4" s="1"/>
  <c r="L21" i="4"/>
  <c r="K21" i="4"/>
  <c r="K27" i="4" s="1"/>
  <c r="J21" i="4"/>
  <c r="J27" i="4" s="1"/>
  <c r="I21" i="4"/>
  <c r="I26" i="4" s="1"/>
  <c r="H21" i="4"/>
  <c r="G21" i="4"/>
  <c r="G27" i="4" s="1"/>
  <c r="F21" i="4"/>
  <c r="F27" i="4" s="1"/>
  <c r="D21" i="4"/>
  <c r="D40" i="4" s="1"/>
  <c r="D56" i="4" s="1"/>
  <c r="C21" i="4"/>
  <c r="C40" i="4" s="1"/>
  <c r="C56" i="4" s="1"/>
  <c r="B21" i="4"/>
  <c r="B40" i="4" s="1"/>
  <c r="B56" i="4" s="1"/>
  <c r="A21" i="4"/>
  <c r="A40" i="4" s="1"/>
  <c r="A56" i="4" s="1"/>
  <c r="K11" i="4"/>
  <c r="J11" i="4"/>
  <c r="G11" i="4"/>
  <c r="F11" i="4"/>
  <c r="E11" i="4"/>
  <c r="E62" i="4" s="1"/>
  <c r="L10" i="4"/>
  <c r="K10" i="4"/>
  <c r="H10" i="4"/>
  <c r="G10" i="4"/>
  <c r="E10" i="4"/>
  <c r="E61" i="4" s="1"/>
  <c r="I9" i="4"/>
  <c r="E9" i="4"/>
  <c r="J8" i="4"/>
  <c r="F8" i="4"/>
  <c r="E8" i="4"/>
  <c r="E59" i="4" s="1"/>
  <c r="K7" i="4"/>
  <c r="J7" i="4"/>
  <c r="G7" i="4"/>
  <c r="F7" i="4"/>
  <c r="E7" i="4"/>
  <c r="E58" i="4" s="1"/>
  <c r="L6" i="4"/>
  <c r="K6" i="4"/>
  <c r="H6" i="4"/>
  <c r="G6" i="4"/>
  <c r="E6" i="4"/>
  <c r="E57" i="4" s="1"/>
  <c r="M5" i="4"/>
  <c r="L5" i="4"/>
  <c r="L9" i="4" s="1"/>
  <c r="K5" i="4"/>
  <c r="K9" i="4" s="1"/>
  <c r="J5" i="4"/>
  <c r="J10" i="4" s="1"/>
  <c r="I5" i="4"/>
  <c r="H5" i="4"/>
  <c r="H9" i="4" s="1"/>
  <c r="G5" i="4"/>
  <c r="G9" i="4" s="1"/>
  <c r="F5" i="4"/>
  <c r="F10" i="4" s="1"/>
  <c r="L2" i="4"/>
  <c r="G2" i="4"/>
  <c r="D86" i="3"/>
  <c r="D81" i="3"/>
  <c r="I78" i="3"/>
  <c r="F78" i="3"/>
  <c r="D78" i="3"/>
  <c r="I76" i="3"/>
  <c r="L76" i="3" s="1"/>
  <c r="E76" i="3"/>
  <c r="E78" i="3" s="1"/>
  <c r="M72" i="3"/>
  <c r="F72" i="3"/>
  <c r="E72" i="3"/>
  <c r="D72" i="3"/>
  <c r="M70" i="3"/>
  <c r="L70" i="3"/>
  <c r="N70" i="3" s="1"/>
  <c r="I70" i="3"/>
  <c r="E70" i="3"/>
  <c r="M69" i="3"/>
  <c r="I69" i="3"/>
  <c r="L69" i="3" s="1"/>
  <c r="N69" i="3" s="1"/>
  <c r="E69" i="3"/>
  <c r="M68" i="3"/>
  <c r="I68" i="3"/>
  <c r="L68" i="3" s="1"/>
  <c r="N68" i="3" s="1"/>
  <c r="E68" i="3"/>
  <c r="M67" i="3"/>
  <c r="I67" i="3"/>
  <c r="L67" i="3" s="1"/>
  <c r="N67" i="3" s="1"/>
  <c r="E67" i="3"/>
  <c r="M66" i="3"/>
  <c r="L66" i="3"/>
  <c r="N66" i="3" s="1"/>
  <c r="I66" i="3"/>
  <c r="E66" i="3"/>
  <c r="M65" i="3"/>
  <c r="I65" i="3"/>
  <c r="L65" i="3" s="1"/>
  <c r="N65" i="3" s="1"/>
  <c r="E65" i="3"/>
  <c r="M64" i="3"/>
  <c r="I64" i="3"/>
  <c r="L64" i="3" s="1"/>
  <c r="N64" i="3" s="1"/>
  <c r="E64" i="3"/>
  <c r="M63" i="3"/>
  <c r="I63" i="3"/>
  <c r="L63" i="3" s="1"/>
  <c r="N63" i="3" s="1"/>
  <c r="E63" i="3"/>
  <c r="M62" i="3"/>
  <c r="L62" i="3"/>
  <c r="N62" i="3" s="1"/>
  <c r="I62" i="3"/>
  <c r="E62" i="3"/>
  <c r="M61" i="3"/>
  <c r="I61" i="3"/>
  <c r="L61" i="3" s="1"/>
  <c r="N61" i="3" s="1"/>
  <c r="E61" i="3"/>
  <c r="M60" i="3"/>
  <c r="I60" i="3"/>
  <c r="L60" i="3" s="1"/>
  <c r="N60" i="3" s="1"/>
  <c r="E60" i="3"/>
  <c r="M59" i="3"/>
  <c r="I59" i="3"/>
  <c r="L59" i="3" s="1"/>
  <c r="N59" i="3" s="1"/>
  <c r="E59" i="3"/>
  <c r="M58" i="3"/>
  <c r="L58" i="3"/>
  <c r="N58" i="3" s="1"/>
  <c r="I58" i="3"/>
  <c r="E58" i="3"/>
  <c r="M57" i="3"/>
  <c r="I57" i="3"/>
  <c r="L57" i="3" s="1"/>
  <c r="N57" i="3" s="1"/>
  <c r="E57" i="3"/>
  <c r="M56" i="3"/>
  <c r="I56" i="3"/>
  <c r="L56" i="3" s="1"/>
  <c r="N56" i="3" s="1"/>
  <c r="E56" i="3"/>
  <c r="M55" i="3"/>
  <c r="I55" i="3"/>
  <c r="L55" i="3" s="1"/>
  <c r="N55" i="3" s="1"/>
  <c r="E55" i="3"/>
  <c r="M54" i="3"/>
  <c r="L54" i="3"/>
  <c r="N54" i="3" s="1"/>
  <c r="I54" i="3"/>
  <c r="E54" i="3"/>
  <c r="M53" i="3"/>
  <c r="I53" i="3"/>
  <c r="L53" i="3" s="1"/>
  <c r="E53" i="3"/>
  <c r="M49" i="3"/>
  <c r="F49" i="3"/>
  <c r="E49" i="3"/>
  <c r="D49" i="3"/>
  <c r="M47" i="3"/>
  <c r="L47" i="3"/>
  <c r="N47" i="3" s="1"/>
  <c r="I47" i="3"/>
  <c r="E47" i="3"/>
  <c r="M46" i="3"/>
  <c r="I46" i="3"/>
  <c r="L46" i="3" s="1"/>
  <c r="N46" i="3" s="1"/>
  <c r="E46" i="3"/>
  <c r="M45" i="3"/>
  <c r="I45" i="3"/>
  <c r="L45" i="3" s="1"/>
  <c r="N45" i="3" s="1"/>
  <c r="E45" i="3"/>
  <c r="M44" i="3"/>
  <c r="I44" i="3"/>
  <c r="L44" i="3" s="1"/>
  <c r="N44" i="3" s="1"/>
  <c r="E44" i="3"/>
  <c r="M43" i="3"/>
  <c r="L43" i="3"/>
  <c r="N43" i="3" s="1"/>
  <c r="I43" i="3"/>
  <c r="E43" i="3"/>
  <c r="M42" i="3"/>
  <c r="I42" i="3"/>
  <c r="L42" i="3" s="1"/>
  <c r="N42" i="3" s="1"/>
  <c r="E42" i="3"/>
  <c r="M41" i="3"/>
  <c r="I41" i="3"/>
  <c r="E41" i="3"/>
  <c r="F37" i="3"/>
  <c r="D37" i="3"/>
  <c r="M35" i="3"/>
  <c r="I35" i="3"/>
  <c r="L35" i="3" s="1"/>
  <c r="N35" i="3" s="1"/>
  <c r="E35" i="3"/>
  <c r="M34" i="3"/>
  <c r="I34" i="3"/>
  <c r="L34" i="3" s="1"/>
  <c r="N34" i="3" s="1"/>
  <c r="E34" i="3"/>
  <c r="M33" i="3"/>
  <c r="L33" i="3"/>
  <c r="N33" i="3" s="1"/>
  <c r="I33" i="3"/>
  <c r="E33" i="3"/>
  <c r="M32" i="3"/>
  <c r="L32" i="3"/>
  <c r="N32" i="3" s="1"/>
  <c r="I32" i="3"/>
  <c r="E32" i="3"/>
  <c r="N31" i="3"/>
  <c r="M31" i="3"/>
  <c r="L31" i="3"/>
  <c r="I31" i="3"/>
  <c r="E31" i="3"/>
  <c r="M30" i="3"/>
  <c r="I30" i="3"/>
  <c r="L30" i="3" s="1"/>
  <c r="N30" i="3" s="1"/>
  <c r="E30" i="3"/>
  <c r="M29" i="3"/>
  <c r="I29" i="3"/>
  <c r="E29" i="3"/>
  <c r="M28" i="3"/>
  <c r="L28" i="3"/>
  <c r="N28" i="3" s="1"/>
  <c r="I28" i="3"/>
  <c r="E28" i="3"/>
  <c r="N27" i="3"/>
  <c r="M27" i="3"/>
  <c r="L27" i="3"/>
  <c r="I27" i="3"/>
  <c r="E27" i="3"/>
  <c r="N26" i="3"/>
  <c r="M26" i="3"/>
  <c r="I26" i="3"/>
  <c r="L26" i="3" s="1"/>
  <c r="E26" i="3"/>
  <c r="F22" i="3"/>
  <c r="D22" i="3"/>
  <c r="D84" i="3" s="1"/>
  <c r="L20" i="3"/>
  <c r="E20" i="3"/>
  <c r="L19" i="3"/>
  <c r="E19" i="3"/>
  <c r="L18" i="3"/>
  <c r="E18" i="3"/>
  <c r="L17" i="3"/>
  <c r="E17" i="3"/>
  <c r="L16" i="3"/>
  <c r="E16" i="3"/>
  <c r="L15" i="3"/>
  <c r="E15" i="3"/>
  <c r="L14" i="3"/>
  <c r="E14" i="3"/>
  <c r="L13" i="3"/>
  <c r="E13" i="3"/>
  <c r="L12" i="3"/>
  <c r="E12" i="3"/>
  <c r="E11" i="3"/>
  <c r="E22" i="3" s="1"/>
  <c r="E84" i="3" s="1"/>
  <c r="P7" i="3"/>
  <c r="P96" i="3" s="1"/>
  <c r="F7" i="3"/>
  <c r="F78" i="2"/>
  <c r="E78" i="2"/>
  <c r="D78" i="2"/>
  <c r="I76" i="2"/>
  <c r="I78" i="2" s="1"/>
  <c r="E76" i="2"/>
  <c r="F72" i="2"/>
  <c r="D72" i="2"/>
  <c r="M70" i="2"/>
  <c r="L70" i="2"/>
  <c r="N70" i="2" s="1"/>
  <c r="I70" i="2"/>
  <c r="E70" i="2"/>
  <c r="M69" i="2"/>
  <c r="I69" i="2"/>
  <c r="L69" i="2" s="1"/>
  <c r="N69" i="2" s="1"/>
  <c r="E69" i="2"/>
  <c r="N68" i="2"/>
  <c r="M68" i="2"/>
  <c r="L68" i="2"/>
  <c r="I68" i="2"/>
  <c r="E68" i="2"/>
  <c r="M67" i="2"/>
  <c r="I67" i="2"/>
  <c r="L67" i="2" s="1"/>
  <c r="N67" i="2" s="1"/>
  <c r="E67" i="2"/>
  <c r="M66" i="2"/>
  <c r="L66" i="2"/>
  <c r="N66" i="2" s="1"/>
  <c r="I66" i="2"/>
  <c r="E66" i="2"/>
  <c r="M65" i="2"/>
  <c r="I65" i="2"/>
  <c r="L65" i="2" s="1"/>
  <c r="N65" i="2" s="1"/>
  <c r="E65" i="2"/>
  <c r="N64" i="2"/>
  <c r="M64" i="2"/>
  <c r="L64" i="2"/>
  <c r="I64" i="2"/>
  <c r="E64" i="2"/>
  <c r="M63" i="2"/>
  <c r="I63" i="2"/>
  <c r="L63" i="2" s="1"/>
  <c r="N63" i="2" s="1"/>
  <c r="E63" i="2"/>
  <c r="L62" i="2"/>
  <c r="I62" i="2"/>
  <c r="E62" i="2"/>
  <c r="M61" i="2"/>
  <c r="I61" i="2"/>
  <c r="L61" i="2" s="1"/>
  <c r="N61" i="2" s="1"/>
  <c r="E61" i="2"/>
  <c r="N60" i="2"/>
  <c r="L60" i="2"/>
  <c r="M60" i="2" s="1"/>
  <c r="I60" i="2"/>
  <c r="E60" i="2"/>
  <c r="I59" i="2"/>
  <c r="L59" i="2" s="1"/>
  <c r="E59" i="2"/>
  <c r="L58" i="2"/>
  <c r="I58" i="2"/>
  <c r="E58" i="2"/>
  <c r="M57" i="2"/>
  <c r="I57" i="2"/>
  <c r="L57" i="2" s="1"/>
  <c r="N57" i="2" s="1"/>
  <c r="E57" i="2"/>
  <c r="N56" i="2"/>
  <c r="L56" i="2"/>
  <c r="M56" i="2" s="1"/>
  <c r="I56" i="2"/>
  <c r="E56" i="2"/>
  <c r="E72" i="2" s="1"/>
  <c r="I55" i="2"/>
  <c r="L55" i="2" s="1"/>
  <c r="E55" i="2"/>
  <c r="L54" i="2"/>
  <c r="I54" i="2"/>
  <c r="E54" i="2"/>
  <c r="M53" i="2"/>
  <c r="I53" i="2"/>
  <c r="L53" i="2" s="1"/>
  <c r="E53" i="2"/>
  <c r="F49" i="2"/>
  <c r="D49" i="2"/>
  <c r="M47" i="2"/>
  <c r="L47" i="2"/>
  <c r="N47" i="2" s="1"/>
  <c r="I47" i="2"/>
  <c r="E47" i="2"/>
  <c r="M46" i="2"/>
  <c r="I46" i="2"/>
  <c r="L46" i="2" s="1"/>
  <c r="N46" i="2" s="1"/>
  <c r="E46" i="2"/>
  <c r="N45" i="2"/>
  <c r="M45" i="2"/>
  <c r="L45" i="2"/>
  <c r="I45" i="2"/>
  <c r="E45" i="2"/>
  <c r="I44" i="2"/>
  <c r="L44" i="2" s="1"/>
  <c r="E44" i="2"/>
  <c r="L43" i="2"/>
  <c r="I43" i="2"/>
  <c r="E43" i="2"/>
  <c r="I42" i="2"/>
  <c r="E42" i="2"/>
  <c r="N41" i="2"/>
  <c r="L41" i="2"/>
  <c r="I41" i="2"/>
  <c r="E41" i="2"/>
  <c r="E49" i="2" s="1"/>
  <c r="F37" i="2"/>
  <c r="D37" i="2"/>
  <c r="D81" i="2" s="1"/>
  <c r="D86" i="2" s="1"/>
  <c r="I35" i="2"/>
  <c r="L35" i="2" s="1"/>
  <c r="N35" i="2" s="1"/>
  <c r="E35" i="2"/>
  <c r="L34" i="2"/>
  <c r="M34" i="2" s="1"/>
  <c r="I34" i="2"/>
  <c r="E34" i="2"/>
  <c r="I33" i="2"/>
  <c r="L33" i="2" s="1"/>
  <c r="N33" i="2" s="1"/>
  <c r="E33" i="2"/>
  <c r="N32" i="2"/>
  <c r="L32" i="2"/>
  <c r="M32" i="2" s="1"/>
  <c r="I32" i="2"/>
  <c r="E32" i="2"/>
  <c r="M31" i="2"/>
  <c r="I31" i="2"/>
  <c r="L31" i="2" s="1"/>
  <c r="N31" i="2" s="1"/>
  <c r="E31" i="2"/>
  <c r="N30" i="2"/>
  <c r="L30" i="2"/>
  <c r="M30" i="2" s="1"/>
  <c r="I30" i="2"/>
  <c r="E30" i="2"/>
  <c r="M29" i="2"/>
  <c r="I29" i="2"/>
  <c r="L29" i="2" s="1"/>
  <c r="N29" i="2" s="1"/>
  <c r="E29" i="2"/>
  <c r="L28" i="2"/>
  <c r="M28" i="2" s="1"/>
  <c r="I28" i="2"/>
  <c r="E28" i="2"/>
  <c r="I27" i="2"/>
  <c r="L27" i="2" s="1"/>
  <c r="N27" i="2" s="1"/>
  <c r="E27" i="2"/>
  <c r="L26" i="2"/>
  <c r="M26" i="2" s="1"/>
  <c r="I26" i="2"/>
  <c r="E26" i="2"/>
  <c r="F22" i="2"/>
  <c r="D22" i="2"/>
  <c r="D84" i="2" s="1"/>
  <c r="D88" i="2" s="1"/>
  <c r="L20" i="2"/>
  <c r="E20" i="2"/>
  <c r="L19" i="2"/>
  <c r="E19" i="2"/>
  <c r="L18" i="2"/>
  <c r="E18" i="2"/>
  <c r="L17" i="2"/>
  <c r="E17" i="2"/>
  <c r="L16" i="2"/>
  <c r="E16" i="2"/>
  <c r="L15" i="2"/>
  <c r="E15" i="2"/>
  <c r="L14" i="2"/>
  <c r="E14" i="2"/>
  <c r="L13" i="2"/>
  <c r="E13" i="2"/>
  <c r="L12" i="2"/>
  <c r="E12" i="2"/>
  <c r="E11" i="2"/>
  <c r="F7" i="2"/>
  <c r="D76" i="5"/>
  <c r="E76" i="5" s="1"/>
  <c r="F76" i="5" s="1"/>
  <c r="G76" i="5" s="1"/>
  <c r="H76" i="5" s="1"/>
  <c r="I76" i="5" s="1"/>
  <c r="J76" i="5" s="1"/>
  <c r="K76" i="5" s="1"/>
  <c r="L76" i="5" s="1"/>
  <c r="M76" i="5" s="1"/>
  <c r="B80" i="5" s="1"/>
  <c r="C80" i="5" s="1"/>
  <c r="F75" i="5"/>
  <c r="G75" i="5" s="1"/>
  <c r="H75" i="5" s="1"/>
  <c r="I75" i="5" s="1"/>
  <c r="J75" i="5" s="1"/>
  <c r="K75" i="5" s="1"/>
  <c r="L75" i="5" s="1"/>
  <c r="M75" i="5" s="1"/>
  <c r="B79" i="5" s="1"/>
  <c r="C79" i="5" s="1"/>
  <c r="D79" i="5" s="1"/>
  <c r="E79" i="5" s="1"/>
  <c r="F79" i="5" s="1"/>
  <c r="G79" i="5" s="1"/>
  <c r="H79" i="5" s="1"/>
  <c r="I79" i="5" s="1"/>
  <c r="J79" i="5" s="1"/>
  <c r="K79" i="5" s="1"/>
  <c r="D75" i="5"/>
  <c r="E75" i="5" s="1"/>
  <c r="H74" i="5"/>
  <c r="I74" i="5" s="1"/>
  <c r="J74" i="5" s="1"/>
  <c r="K74" i="5" s="1"/>
  <c r="L74" i="5" s="1"/>
  <c r="M74" i="5" s="1"/>
  <c r="B78" i="5" s="1"/>
  <c r="C78" i="5" s="1"/>
  <c r="D78" i="5" s="1"/>
  <c r="E78" i="5" s="1"/>
  <c r="F78" i="5" s="1"/>
  <c r="G78" i="5" s="1"/>
  <c r="H78" i="5" s="1"/>
  <c r="I78" i="5" s="1"/>
  <c r="J78" i="5" s="1"/>
  <c r="K78" i="5" s="1"/>
  <c r="F74" i="5"/>
  <c r="G74" i="5" s="1"/>
  <c r="D74" i="5"/>
  <c r="E74" i="5" s="1"/>
  <c r="A66" i="5"/>
  <c r="I62" i="5"/>
  <c r="L61" i="5"/>
  <c r="J61" i="5"/>
  <c r="H61" i="5"/>
  <c r="F61" i="5"/>
  <c r="D61" i="5"/>
  <c r="I60" i="5"/>
  <c r="C60" i="5"/>
  <c r="A60" i="5"/>
  <c r="L59" i="5"/>
  <c r="J59" i="5"/>
  <c r="H59" i="5"/>
  <c r="F59" i="5"/>
  <c r="M58" i="5"/>
  <c r="J58" i="5"/>
  <c r="F58" i="5"/>
  <c r="L57" i="5"/>
  <c r="J57" i="5"/>
  <c r="H57" i="5"/>
  <c r="F57" i="5"/>
  <c r="D57" i="5"/>
  <c r="M56" i="5"/>
  <c r="L56" i="5"/>
  <c r="L62" i="5" s="1"/>
  <c r="K56" i="5"/>
  <c r="K62" i="5" s="1"/>
  <c r="J56" i="5"/>
  <c r="J60" i="5" s="1"/>
  <c r="I56" i="5"/>
  <c r="H56" i="5"/>
  <c r="H62" i="5" s="1"/>
  <c r="G56" i="5"/>
  <c r="F56" i="5"/>
  <c r="F60" i="5" s="1"/>
  <c r="M46" i="5"/>
  <c r="I46" i="5"/>
  <c r="F46" i="5"/>
  <c r="M45" i="5"/>
  <c r="K45" i="5"/>
  <c r="I45" i="5"/>
  <c r="C45" i="5"/>
  <c r="C61" i="5" s="1"/>
  <c r="J44" i="5"/>
  <c r="B44" i="5"/>
  <c r="M43" i="5"/>
  <c r="I43" i="5"/>
  <c r="G43" i="5"/>
  <c r="M42" i="5"/>
  <c r="J42" i="5"/>
  <c r="I42" i="5"/>
  <c r="F42" i="5"/>
  <c r="B42" i="5"/>
  <c r="B58" i="5" s="1"/>
  <c r="A42" i="5"/>
  <c r="A58" i="5" s="1"/>
  <c r="M41" i="5"/>
  <c r="J41" i="5"/>
  <c r="I41" i="5"/>
  <c r="I52" i="5" s="1"/>
  <c r="C41" i="5"/>
  <c r="C57" i="5" s="1"/>
  <c r="M40" i="5"/>
  <c r="M44" i="5" s="1"/>
  <c r="L40" i="5"/>
  <c r="L44" i="5" s="1"/>
  <c r="K40" i="5"/>
  <c r="K41" i="5" s="1"/>
  <c r="J40" i="5"/>
  <c r="I40" i="5"/>
  <c r="I44" i="5" s="1"/>
  <c r="H40" i="5"/>
  <c r="H46" i="5" s="1"/>
  <c r="G40" i="5"/>
  <c r="G45" i="5" s="1"/>
  <c r="F40" i="5"/>
  <c r="B40" i="5"/>
  <c r="B56" i="5" s="1"/>
  <c r="D37" i="5"/>
  <c r="C37" i="5"/>
  <c r="B37" i="5"/>
  <c r="A37" i="5"/>
  <c r="A34" i="5"/>
  <c r="A53" i="5" s="1"/>
  <c r="A69" i="5" s="1"/>
  <c r="A33" i="5"/>
  <c r="A52" i="5" s="1"/>
  <c r="A68" i="5" s="1"/>
  <c r="A32" i="5"/>
  <c r="A51" i="5" s="1"/>
  <c r="A67" i="5" s="1"/>
  <c r="A31" i="5"/>
  <c r="A50" i="5" s="1"/>
  <c r="A30" i="5"/>
  <c r="A49" i="5" s="1"/>
  <c r="A65" i="5" s="1"/>
  <c r="E27" i="5"/>
  <c r="D27" i="5"/>
  <c r="D46" i="5" s="1"/>
  <c r="D62" i="5" s="1"/>
  <c r="C27" i="5"/>
  <c r="C46" i="5" s="1"/>
  <c r="C62" i="5" s="1"/>
  <c r="B27" i="5"/>
  <c r="B46" i="5" s="1"/>
  <c r="A27" i="5"/>
  <c r="A46" i="5" s="1"/>
  <c r="A62" i="5" s="1"/>
  <c r="BJ26" i="5"/>
  <c r="BG26" i="5"/>
  <c r="BF26" i="5"/>
  <c r="BC26" i="5"/>
  <c r="BB26" i="5"/>
  <c r="AY26" i="5"/>
  <c r="AX26" i="5"/>
  <c r="AU26" i="5"/>
  <c r="AT26" i="5"/>
  <c r="AQ26" i="5"/>
  <c r="AP26" i="5"/>
  <c r="AM26" i="5"/>
  <c r="AL26" i="5"/>
  <c r="AI26" i="5"/>
  <c r="AH26" i="5"/>
  <c r="AE26" i="5"/>
  <c r="AD26" i="5"/>
  <c r="K26" i="5"/>
  <c r="J26" i="5"/>
  <c r="G26" i="5"/>
  <c r="F26" i="5"/>
  <c r="D26" i="5"/>
  <c r="D45" i="5" s="1"/>
  <c r="C26" i="5"/>
  <c r="B26" i="5"/>
  <c r="B45" i="5" s="1"/>
  <c r="B61" i="5" s="1"/>
  <c r="A26" i="5"/>
  <c r="A45" i="5" s="1"/>
  <c r="A61" i="5" s="1"/>
  <c r="D25" i="5"/>
  <c r="D44" i="5" s="1"/>
  <c r="D60" i="5" s="1"/>
  <c r="C25" i="5"/>
  <c r="C44" i="5" s="1"/>
  <c r="B25" i="5"/>
  <c r="A25" i="5"/>
  <c r="A44" i="5" s="1"/>
  <c r="BJ24" i="5"/>
  <c r="BG24" i="5"/>
  <c r="BF24" i="5"/>
  <c r="BC24" i="5"/>
  <c r="BB24" i="5"/>
  <c r="AY24" i="5"/>
  <c r="AX24" i="5"/>
  <c r="AU24" i="5"/>
  <c r="AT24" i="5"/>
  <c r="AQ24" i="5"/>
  <c r="AP24" i="5"/>
  <c r="AM24" i="5"/>
  <c r="AL24" i="5"/>
  <c r="AI24" i="5"/>
  <c r="AH24" i="5"/>
  <c r="AE24" i="5"/>
  <c r="AD24" i="5"/>
  <c r="K24" i="5"/>
  <c r="J24" i="5"/>
  <c r="G24" i="5"/>
  <c r="F24" i="5"/>
  <c r="D24" i="5"/>
  <c r="D43" i="5" s="1"/>
  <c r="D59" i="5" s="1"/>
  <c r="C24" i="5"/>
  <c r="C43" i="5" s="1"/>
  <c r="C59" i="5" s="1"/>
  <c r="B24" i="5"/>
  <c r="B43" i="5" s="1"/>
  <c r="B59" i="5" s="1"/>
  <c r="A24" i="5"/>
  <c r="A43" i="5" s="1"/>
  <c r="A59" i="5" s="1"/>
  <c r="E23" i="5"/>
  <c r="D23" i="5"/>
  <c r="D42" i="5" s="1"/>
  <c r="D58" i="5" s="1"/>
  <c r="C23" i="5"/>
  <c r="C42" i="5" s="1"/>
  <c r="C58" i="5" s="1"/>
  <c r="B23" i="5"/>
  <c r="A23" i="5"/>
  <c r="BJ22" i="5"/>
  <c r="BG22" i="5"/>
  <c r="BF22" i="5"/>
  <c r="BC22" i="5"/>
  <c r="BB22" i="5"/>
  <c r="AY22" i="5"/>
  <c r="AX22" i="5"/>
  <c r="AU22" i="5"/>
  <c r="AT22" i="5"/>
  <c r="AQ22" i="5"/>
  <c r="AP22" i="5"/>
  <c r="AM22" i="5"/>
  <c r="AL22" i="5"/>
  <c r="AI22" i="5"/>
  <c r="AH22" i="5"/>
  <c r="AE22" i="5"/>
  <c r="AD22" i="5"/>
  <c r="K22" i="5"/>
  <c r="J22" i="5"/>
  <c r="G22" i="5"/>
  <c r="F22" i="5"/>
  <c r="D22" i="5"/>
  <c r="D41" i="5" s="1"/>
  <c r="C22" i="5"/>
  <c r="B22" i="5"/>
  <c r="B41" i="5" s="1"/>
  <c r="A22" i="5"/>
  <c r="A41" i="5" s="1"/>
  <c r="A57" i="5" s="1"/>
  <c r="BJ21" i="5"/>
  <c r="BJ27" i="5" s="1"/>
  <c r="BI21" i="5"/>
  <c r="BI26" i="5" s="1"/>
  <c r="BH21" i="5"/>
  <c r="BH26" i="5" s="1"/>
  <c r="BG21" i="5"/>
  <c r="BG27" i="5" s="1"/>
  <c r="BF21" i="5"/>
  <c r="BF27" i="5" s="1"/>
  <c r="BE21" i="5"/>
  <c r="BE26" i="5" s="1"/>
  <c r="BD21" i="5"/>
  <c r="BD27" i="5" s="1"/>
  <c r="BC21" i="5"/>
  <c r="BC27" i="5" s="1"/>
  <c r="BB21" i="5"/>
  <c r="BB27" i="5" s="1"/>
  <c r="BA21" i="5"/>
  <c r="BA26" i="5" s="1"/>
  <c r="AZ21" i="5"/>
  <c r="AZ26" i="5" s="1"/>
  <c r="AY21" i="5"/>
  <c r="AY27" i="5" s="1"/>
  <c r="AX21" i="5"/>
  <c r="AX27" i="5" s="1"/>
  <c r="AW21" i="5"/>
  <c r="AW26" i="5" s="1"/>
  <c r="AV21" i="5"/>
  <c r="AV25" i="5" s="1"/>
  <c r="AU21" i="5"/>
  <c r="AU27" i="5" s="1"/>
  <c r="AT21" i="5"/>
  <c r="AT27" i="5" s="1"/>
  <c r="AS21" i="5"/>
  <c r="AS26" i="5" s="1"/>
  <c r="AR21" i="5"/>
  <c r="AR27" i="5" s="1"/>
  <c r="AQ21" i="5"/>
  <c r="AQ27" i="5" s="1"/>
  <c r="AP21" i="5"/>
  <c r="AP27" i="5" s="1"/>
  <c r="AO21" i="5"/>
  <c r="AO26" i="5" s="1"/>
  <c r="AN21" i="5"/>
  <c r="AN25" i="5" s="1"/>
  <c r="AM21" i="5"/>
  <c r="AM27" i="5" s="1"/>
  <c r="AL21" i="5"/>
  <c r="AL27" i="5" s="1"/>
  <c r="AK21" i="5"/>
  <c r="AK26" i="5" s="1"/>
  <c r="AJ21" i="5"/>
  <c r="AJ27" i="5" s="1"/>
  <c r="AI21" i="5"/>
  <c r="AI27" i="5" s="1"/>
  <c r="AH21" i="5"/>
  <c r="AH27" i="5" s="1"/>
  <c r="AG21" i="5"/>
  <c r="AG26" i="5" s="1"/>
  <c r="AF21" i="5"/>
  <c r="AF26" i="5" s="1"/>
  <c r="AE21" i="5"/>
  <c r="AE27" i="5" s="1"/>
  <c r="AD21" i="5"/>
  <c r="AD27" i="5" s="1"/>
  <c r="M21" i="5"/>
  <c r="M26" i="5" s="1"/>
  <c r="L21" i="5"/>
  <c r="L25" i="5" s="1"/>
  <c r="K21" i="5"/>
  <c r="K27" i="5" s="1"/>
  <c r="J21" i="5"/>
  <c r="J27" i="5" s="1"/>
  <c r="I21" i="5"/>
  <c r="I26" i="5" s="1"/>
  <c r="H21" i="5"/>
  <c r="H27" i="5" s="1"/>
  <c r="G21" i="5"/>
  <c r="G27" i="5" s="1"/>
  <c r="F21" i="5"/>
  <c r="F27" i="5" s="1"/>
  <c r="D21" i="5"/>
  <c r="D40" i="5" s="1"/>
  <c r="D56" i="5" s="1"/>
  <c r="C21" i="5"/>
  <c r="C40" i="5" s="1"/>
  <c r="C56" i="5" s="1"/>
  <c r="B21" i="5"/>
  <c r="A21" i="5"/>
  <c r="A40" i="5" s="1"/>
  <c r="A56" i="5" s="1"/>
  <c r="H15" i="5"/>
  <c r="I15" i="5" s="1"/>
  <c r="J15" i="5" s="1"/>
  <c r="K15" i="5" s="1"/>
  <c r="L15" i="5" s="1"/>
  <c r="M15" i="5" s="1"/>
  <c r="F31" i="5" s="1"/>
  <c r="G31" i="5" s="1"/>
  <c r="H31" i="5" s="1"/>
  <c r="I31" i="5" s="1"/>
  <c r="J31" i="5" s="1"/>
  <c r="K31" i="5" s="1"/>
  <c r="L31" i="5" s="1"/>
  <c r="M31" i="5" s="1"/>
  <c r="F50" i="5" s="1"/>
  <c r="G50" i="5" s="1"/>
  <c r="H50" i="5" s="1"/>
  <c r="I50" i="5" s="1"/>
  <c r="J50" i="5" s="1"/>
  <c r="K50" i="5" s="1"/>
  <c r="L50" i="5" s="1"/>
  <c r="M50" i="5" s="1"/>
  <c r="F66" i="5" s="1"/>
  <c r="G66" i="5" s="1"/>
  <c r="H66" i="5" s="1"/>
  <c r="I66" i="5" s="1"/>
  <c r="J66" i="5" s="1"/>
  <c r="K66" i="5" s="1"/>
  <c r="L66" i="5" s="1"/>
  <c r="M66" i="5" s="1"/>
  <c r="AD31" i="5" s="1"/>
  <c r="AE31" i="5" s="1"/>
  <c r="AF31" i="5" s="1"/>
  <c r="AG31" i="5" s="1"/>
  <c r="AH31" i="5" s="1"/>
  <c r="AI31" i="5" s="1"/>
  <c r="AJ31" i="5" s="1"/>
  <c r="AK31" i="5" s="1"/>
  <c r="AL31" i="5" s="1"/>
  <c r="AM31" i="5" s="1"/>
  <c r="AN31" i="5" s="1"/>
  <c r="AO31" i="5" s="1"/>
  <c r="AP31" i="5" s="1"/>
  <c r="AQ31" i="5" s="1"/>
  <c r="AR31" i="5" s="1"/>
  <c r="AS31" i="5" s="1"/>
  <c r="AT31" i="5" s="1"/>
  <c r="AU31" i="5" s="1"/>
  <c r="AV31" i="5" s="1"/>
  <c r="AW31" i="5" s="1"/>
  <c r="AX31" i="5" s="1"/>
  <c r="AY31" i="5" s="1"/>
  <c r="AZ31" i="5" s="1"/>
  <c r="BA31" i="5" s="1"/>
  <c r="BB31" i="5" s="1"/>
  <c r="BC31" i="5" s="1"/>
  <c r="BD31" i="5" s="1"/>
  <c r="BE31" i="5" s="1"/>
  <c r="BF31" i="5" s="1"/>
  <c r="BG31" i="5" s="1"/>
  <c r="BH31" i="5" s="1"/>
  <c r="BI31" i="5" s="1"/>
  <c r="BJ31" i="5" s="1"/>
  <c r="G15" i="5"/>
  <c r="F15" i="5"/>
  <c r="L11" i="5"/>
  <c r="K11" i="5"/>
  <c r="H11" i="5"/>
  <c r="G11" i="5"/>
  <c r="E11" i="5"/>
  <c r="E62" i="5" s="1"/>
  <c r="L10" i="5"/>
  <c r="H10" i="5"/>
  <c r="E10" i="5"/>
  <c r="E61" i="5" s="1"/>
  <c r="E9" i="5"/>
  <c r="E60" i="5" s="1"/>
  <c r="K8" i="5"/>
  <c r="J8" i="5"/>
  <c r="G8" i="5"/>
  <c r="F8" i="5"/>
  <c r="E8" i="5"/>
  <c r="E59" i="5" s="1"/>
  <c r="L7" i="5"/>
  <c r="K7" i="5"/>
  <c r="H7" i="5"/>
  <c r="G7" i="5"/>
  <c r="E7" i="5"/>
  <c r="E58" i="5" s="1"/>
  <c r="L6" i="5"/>
  <c r="K6" i="5"/>
  <c r="H6" i="5"/>
  <c r="G6" i="5"/>
  <c r="E6" i="5"/>
  <c r="E57" i="5" s="1"/>
  <c r="M5" i="5"/>
  <c r="M8" i="5" s="1"/>
  <c r="L5" i="5"/>
  <c r="L9" i="5" s="1"/>
  <c r="K5" i="5"/>
  <c r="K10" i="5" s="1"/>
  <c r="J5" i="5"/>
  <c r="J11" i="5" s="1"/>
  <c r="I5" i="5"/>
  <c r="I8" i="5" s="1"/>
  <c r="H5" i="5"/>
  <c r="H9" i="5" s="1"/>
  <c r="G5" i="5"/>
  <c r="G10" i="5" s="1"/>
  <c r="F5" i="5"/>
  <c r="F11" i="5" s="1"/>
  <c r="L2" i="5"/>
  <c r="G2" i="5"/>
  <c r="B57" i="5" l="1"/>
  <c r="E41" i="5"/>
  <c r="B62" i="5"/>
  <c r="E46" i="5"/>
  <c r="AF23" i="5"/>
  <c r="AZ23" i="5"/>
  <c r="AF25" i="5"/>
  <c r="AZ25" i="5"/>
  <c r="L27" i="5"/>
  <c r="AV27" i="5"/>
  <c r="BH27" i="5"/>
  <c r="G59" i="5"/>
  <c r="G61" i="5"/>
  <c r="G57" i="5"/>
  <c r="N55" i="2"/>
  <c r="M55" i="2"/>
  <c r="I6" i="5"/>
  <c r="M6" i="5"/>
  <c r="I10" i="5"/>
  <c r="M10" i="5"/>
  <c r="I23" i="5"/>
  <c r="AK23" i="5"/>
  <c r="AW23" i="5"/>
  <c r="BA23" i="5"/>
  <c r="BE23" i="5"/>
  <c r="BI23" i="5"/>
  <c r="M25" i="5"/>
  <c r="AS25" i="5"/>
  <c r="BA25" i="5"/>
  <c r="BE25" i="5"/>
  <c r="BI25" i="5"/>
  <c r="AG27" i="5"/>
  <c r="AS27" i="5"/>
  <c r="BE27" i="5"/>
  <c r="N28" i="2"/>
  <c r="M22" i="3"/>
  <c r="F84" i="3"/>
  <c r="L78" i="3"/>
  <c r="N76" i="3"/>
  <c r="M76" i="3"/>
  <c r="H26" i="4"/>
  <c r="H24" i="4"/>
  <c r="H22" i="4"/>
  <c r="H27" i="4"/>
  <c r="H25" i="4"/>
  <c r="H23" i="4"/>
  <c r="L26" i="4"/>
  <c r="L24" i="4"/>
  <c r="L22" i="4"/>
  <c r="L25" i="4"/>
  <c r="L23" i="4"/>
  <c r="AF26" i="4"/>
  <c r="AF24" i="4"/>
  <c r="AF22" i="4"/>
  <c r="AF23" i="4"/>
  <c r="AF27" i="4"/>
  <c r="AJ26" i="4"/>
  <c r="AJ24" i="4"/>
  <c r="AJ22" i="4"/>
  <c r="AJ33" i="4" s="1"/>
  <c r="AJ27" i="4"/>
  <c r="AJ25" i="4"/>
  <c r="AN26" i="4"/>
  <c r="AN24" i="4"/>
  <c r="AN22" i="4"/>
  <c r="AN27" i="4"/>
  <c r="AN25" i="4"/>
  <c r="AN23" i="4"/>
  <c r="AR26" i="4"/>
  <c r="AR24" i="4"/>
  <c r="AR22" i="4"/>
  <c r="AR25" i="4"/>
  <c r="AR23" i="4"/>
  <c r="AV26" i="4"/>
  <c r="AV24" i="4"/>
  <c r="AV22" i="4"/>
  <c r="AV33" i="4" s="1"/>
  <c r="AV23" i="4"/>
  <c r="AV27" i="4"/>
  <c r="AZ26" i="4"/>
  <c r="AZ24" i="4"/>
  <c r="AZ22" i="4"/>
  <c r="AZ27" i="4"/>
  <c r="AZ25" i="4"/>
  <c r="BD26" i="4"/>
  <c r="BD24" i="4"/>
  <c r="BD22" i="4"/>
  <c r="BD27" i="4"/>
  <c r="BD25" i="4"/>
  <c r="BD23" i="4"/>
  <c r="BH26" i="4"/>
  <c r="BH24" i="4"/>
  <c r="BH22" i="4"/>
  <c r="BH33" i="4" s="1"/>
  <c r="BH25" i="4"/>
  <c r="BH23" i="4"/>
  <c r="B41" i="4"/>
  <c r="D75" i="4"/>
  <c r="E75" i="4" s="1"/>
  <c r="F75" i="4" s="1"/>
  <c r="G75" i="4" s="1"/>
  <c r="H75" i="4" s="1"/>
  <c r="I75" i="4" s="1"/>
  <c r="J75" i="4" s="1"/>
  <c r="K75" i="4" s="1"/>
  <c r="L75" i="4" s="1"/>
  <c r="M75" i="4" s="1"/>
  <c r="B79" i="4" s="1"/>
  <c r="C79" i="4" s="1"/>
  <c r="D79" i="4" s="1"/>
  <c r="E79" i="4" s="1"/>
  <c r="F79" i="4" s="1"/>
  <c r="G79" i="4" s="1"/>
  <c r="H79" i="4" s="1"/>
  <c r="I79" i="4" s="1"/>
  <c r="J79" i="4" s="1"/>
  <c r="K79" i="4" s="1"/>
  <c r="AT33" i="4"/>
  <c r="B59" i="4"/>
  <c r="E43" i="4"/>
  <c r="AR27" i="4"/>
  <c r="I9" i="5"/>
  <c r="M9" i="5"/>
  <c r="H23" i="5"/>
  <c r="AJ23" i="5"/>
  <c r="AR23" i="5"/>
  <c r="BD23" i="5"/>
  <c r="BH23" i="5"/>
  <c r="H25" i="5"/>
  <c r="AJ25" i="5"/>
  <c r="AR25" i="5"/>
  <c r="BD25" i="5"/>
  <c r="BH25" i="5"/>
  <c r="AF27" i="5"/>
  <c r="AN27" i="5"/>
  <c r="AZ27" i="5"/>
  <c r="L42" i="5"/>
  <c r="E43" i="5"/>
  <c r="G62" i="5"/>
  <c r="N44" i="2"/>
  <c r="M44" i="2"/>
  <c r="N59" i="2"/>
  <c r="M59" i="2"/>
  <c r="F9" i="5"/>
  <c r="M23" i="5"/>
  <c r="AS23" i="5"/>
  <c r="E25" i="5"/>
  <c r="AG25" i="5"/>
  <c r="AO25" i="5"/>
  <c r="I27" i="5"/>
  <c r="AK27" i="5"/>
  <c r="BA27" i="5"/>
  <c r="H42" i="5"/>
  <c r="G58" i="5"/>
  <c r="K60" i="5"/>
  <c r="F84" i="2"/>
  <c r="M27" i="2"/>
  <c r="F6" i="5"/>
  <c r="J6" i="5"/>
  <c r="I7" i="5"/>
  <c r="M7" i="5"/>
  <c r="H8" i="5"/>
  <c r="H17" i="5" s="1"/>
  <c r="L8" i="5"/>
  <c r="L17" i="5" s="1"/>
  <c r="G9" i="5"/>
  <c r="G17" i="5" s="1"/>
  <c r="K9" i="5"/>
  <c r="K17" i="5" s="1"/>
  <c r="F10" i="5"/>
  <c r="J10" i="5"/>
  <c r="I11" i="5"/>
  <c r="M11" i="5"/>
  <c r="H22" i="5"/>
  <c r="L22" i="5"/>
  <c r="AF22" i="5"/>
  <c r="AJ22" i="5"/>
  <c r="AJ33" i="5" s="1"/>
  <c r="AN22" i="5"/>
  <c r="AR22" i="5"/>
  <c r="AV22" i="5"/>
  <c r="AZ22" i="5"/>
  <c r="AZ33" i="5" s="1"/>
  <c r="BD22" i="5"/>
  <c r="BH22" i="5"/>
  <c r="F23" i="5"/>
  <c r="F33" i="5" s="1"/>
  <c r="J23" i="5"/>
  <c r="J33" i="5" s="1"/>
  <c r="AD23" i="5"/>
  <c r="AD33" i="5" s="1"/>
  <c r="AH23" i="5"/>
  <c r="AH33" i="5" s="1"/>
  <c r="AL23" i="5"/>
  <c r="AL33" i="5" s="1"/>
  <c r="AP23" i="5"/>
  <c r="AP33" i="5" s="1"/>
  <c r="AT23" i="5"/>
  <c r="AT33" i="5" s="1"/>
  <c r="AX23" i="5"/>
  <c r="AX33" i="5" s="1"/>
  <c r="BB23" i="5"/>
  <c r="BB33" i="5" s="1"/>
  <c r="BF23" i="5"/>
  <c r="BF33" i="5" s="1"/>
  <c r="BJ23" i="5"/>
  <c r="BJ33" i="5" s="1"/>
  <c r="H24" i="5"/>
  <c r="L24" i="5"/>
  <c r="AF24" i="5"/>
  <c r="AJ24" i="5"/>
  <c r="AN24" i="5"/>
  <c r="AR24" i="5"/>
  <c r="AV24" i="5"/>
  <c r="AZ24" i="5"/>
  <c r="BD24" i="5"/>
  <c r="BH24" i="5"/>
  <c r="F25" i="5"/>
  <c r="J25" i="5"/>
  <c r="AD25" i="5"/>
  <c r="AH25" i="5"/>
  <c r="AL25" i="5"/>
  <c r="AP25" i="5"/>
  <c r="AT25" i="5"/>
  <c r="AX25" i="5"/>
  <c r="BB25" i="5"/>
  <c r="BF25" i="5"/>
  <c r="BJ25" i="5"/>
  <c r="H26" i="5"/>
  <c r="L26" i="5"/>
  <c r="AJ26" i="5"/>
  <c r="AN26" i="5"/>
  <c r="AR26" i="5"/>
  <c r="AV26" i="5"/>
  <c r="BD26" i="5"/>
  <c r="F43" i="5"/>
  <c r="F45" i="5"/>
  <c r="J43" i="5"/>
  <c r="J52" i="5" s="1"/>
  <c r="J45" i="5"/>
  <c r="F41" i="5"/>
  <c r="I61" i="5"/>
  <c r="I57" i="5"/>
  <c r="I68" i="5" s="1"/>
  <c r="I59" i="5"/>
  <c r="M61" i="5"/>
  <c r="M57" i="5"/>
  <c r="M59" i="5"/>
  <c r="I58" i="5"/>
  <c r="M60" i="5"/>
  <c r="N26" i="2"/>
  <c r="M33" i="2"/>
  <c r="N34" i="2"/>
  <c r="L42" i="2"/>
  <c r="I49" i="2"/>
  <c r="N43" i="2"/>
  <c r="M43" i="2"/>
  <c r="L72" i="2"/>
  <c r="N53" i="2"/>
  <c r="N54" i="2"/>
  <c r="M54" i="2"/>
  <c r="N58" i="2"/>
  <c r="M58" i="2"/>
  <c r="N62" i="2"/>
  <c r="M62" i="2"/>
  <c r="L72" i="3"/>
  <c r="N53" i="3"/>
  <c r="AJ23" i="4"/>
  <c r="BH27" i="4"/>
  <c r="L23" i="5"/>
  <c r="AN23" i="5"/>
  <c r="AV23" i="5"/>
  <c r="H45" i="5"/>
  <c r="H41" i="5"/>
  <c r="H52" i="5" s="1"/>
  <c r="H43" i="5"/>
  <c r="L45" i="5"/>
  <c r="L41" i="5"/>
  <c r="L43" i="5"/>
  <c r="H44" i="5"/>
  <c r="L46" i="5"/>
  <c r="K59" i="5"/>
  <c r="K61" i="5"/>
  <c r="K57" i="5"/>
  <c r="K58" i="5"/>
  <c r="E22" i="2"/>
  <c r="E84" i="2" s="1"/>
  <c r="E88" i="2" s="1"/>
  <c r="I37" i="2"/>
  <c r="L37" i="2"/>
  <c r="I37" i="3"/>
  <c r="L29" i="3"/>
  <c r="N29" i="3" s="1"/>
  <c r="J9" i="5"/>
  <c r="AG23" i="5"/>
  <c r="AO23" i="5"/>
  <c r="I25" i="5"/>
  <c r="AK25" i="5"/>
  <c r="AW25" i="5"/>
  <c r="M27" i="5"/>
  <c r="AO27" i="5"/>
  <c r="AW27" i="5"/>
  <c r="BI27" i="5"/>
  <c r="B60" i="5"/>
  <c r="E44" i="5"/>
  <c r="E45" i="5"/>
  <c r="M35" i="2"/>
  <c r="F7" i="5"/>
  <c r="J7" i="5"/>
  <c r="E22" i="5"/>
  <c r="I22" i="5"/>
  <c r="M22" i="5"/>
  <c r="AG22" i="5"/>
  <c r="AK22" i="5"/>
  <c r="AK33" i="5" s="1"/>
  <c r="AO22" i="5"/>
  <c r="AS22" i="5"/>
  <c r="AW22" i="5"/>
  <c r="BA22" i="5"/>
  <c r="BA33" i="5" s="1"/>
  <c r="BE22" i="5"/>
  <c r="BI22" i="5"/>
  <c r="G23" i="5"/>
  <c r="G33" i="5" s="1"/>
  <c r="K23" i="5"/>
  <c r="K33" i="5" s="1"/>
  <c r="AE23" i="5"/>
  <c r="AI23" i="5"/>
  <c r="AI33" i="5" s="1"/>
  <c r="AM23" i="5"/>
  <c r="AM33" i="5" s="1"/>
  <c r="AQ23" i="5"/>
  <c r="AQ33" i="5" s="1"/>
  <c r="AU23" i="5"/>
  <c r="AY23" i="5"/>
  <c r="AY33" i="5" s="1"/>
  <c r="BC23" i="5"/>
  <c r="BC33" i="5" s="1"/>
  <c r="BG23" i="5"/>
  <c r="BG33" i="5" s="1"/>
  <c r="E24" i="5"/>
  <c r="I24" i="5"/>
  <c r="M24" i="5"/>
  <c r="AG24" i="5"/>
  <c r="AK24" i="5"/>
  <c r="AO24" i="5"/>
  <c r="AS24" i="5"/>
  <c r="AW24" i="5"/>
  <c r="BA24" i="5"/>
  <c r="BE24" i="5"/>
  <c r="BI24" i="5"/>
  <c r="G25" i="5"/>
  <c r="K25" i="5"/>
  <c r="AE25" i="5"/>
  <c r="AI25" i="5"/>
  <c r="AM25" i="5"/>
  <c r="AQ25" i="5"/>
  <c r="AU25" i="5"/>
  <c r="AY25" i="5"/>
  <c r="BC25" i="5"/>
  <c r="BG25" i="5"/>
  <c r="E26" i="5"/>
  <c r="G46" i="5"/>
  <c r="G42" i="5"/>
  <c r="G44" i="5"/>
  <c r="K46" i="5"/>
  <c r="K42" i="5"/>
  <c r="K52" i="5" s="1"/>
  <c r="K44" i="5"/>
  <c r="G41" i="5"/>
  <c r="M52" i="5"/>
  <c r="E42" i="5"/>
  <c r="K43" i="5"/>
  <c r="F44" i="5"/>
  <c r="J46" i="5"/>
  <c r="J68" i="5"/>
  <c r="G60" i="5"/>
  <c r="M62" i="5"/>
  <c r="E37" i="2"/>
  <c r="E81" i="2" s="1"/>
  <c r="E86" i="2" s="1"/>
  <c r="M37" i="2"/>
  <c r="F81" i="2"/>
  <c r="M41" i="2"/>
  <c r="I49" i="3"/>
  <c r="L41" i="3"/>
  <c r="M78" i="3"/>
  <c r="AZ23" i="4"/>
  <c r="AF25" i="4"/>
  <c r="H60" i="5"/>
  <c r="L60" i="5"/>
  <c r="F62" i="5"/>
  <c r="F68" i="5" s="1"/>
  <c r="J62" i="5"/>
  <c r="M37" i="3"/>
  <c r="F81" i="3"/>
  <c r="I8" i="4"/>
  <c r="I11" i="4"/>
  <c r="I7" i="4"/>
  <c r="I10" i="4"/>
  <c r="I6" i="4"/>
  <c r="M8" i="4"/>
  <c r="M11" i="4"/>
  <c r="M7" i="4"/>
  <c r="M10" i="4"/>
  <c r="M6" i="4"/>
  <c r="M9" i="4"/>
  <c r="B61" i="4"/>
  <c r="E45" i="4"/>
  <c r="I72" i="2"/>
  <c r="E37" i="3"/>
  <c r="E81" i="3" s="1"/>
  <c r="E86" i="3" s="1"/>
  <c r="E88" i="3" s="1"/>
  <c r="AP33" i="4"/>
  <c r="H58" i="5"/>
  <c r="H68" i="5" s="1"/>
  <c r="L58" i="5"/>
  <c r="L68" i="5" s="1"/>
  <c r="L76" i="2"/>
  <c r="D88" i="3"/>
  <c r="G17" i="4"/>
  <c r="E60" i="4"/>
  <c r="E25" i="4"/>
  <c r="I72" i="3"/>
  <c r="H7" i="4"/>
  <c r="H17" i="4" s="1"/>
  <c r="L7" i="4"/>
  <c r="G8" i="4"/>
  <c r="K8" i="4"/>
  <c r="K17" i="4" s="1"/>
  <c r="F9" i="4"/>
  <c r="J9" i="4"/>
  <c r="H11" i="4"/>
  <c r="L11" i="4"/>
  <c r="L17" i="4" s="1"/>
  <c r="G22" i="4"/>
  <c r="G33" i="4" s="1"/>
  <c r="K22" i="4"/>
  <c r="AE22" i="4"/>
  <c r="AI22" i="4"/>
  <c r="AM22" i="4"/>
  <c r="AM33" i="4" s="1"/>
  <c r="AQ22" i="4"/>
  <c r="AU22" i="4"/>
  <c r="AY22" i="4"/>
  <c r="BC22" i="4"/>
  <c r="BC33" i="4" s="1"/>
  <c r="BG22" i="4"/>
  <c r="E23" i="4"/>
  <c r="I23" i="4"/>
  <c r="M23" i="4"/>
  <c r="M33" i="4" s="1"/>
  <c r="AG23" i="4"/>
  <c r="AG33" i="4" s="1"/>
  <c r="AK23" i="4"/>
  <c r="AO23" i="4"/>
  <c r="AO33" i="4" s="1"/>
  <c r="AS23" i="4"/>
  <c r="AS33" i="4" s="1"/>
  <c r="AW23" i="4"/>
  <c r="BA23" i="4"/>
  <c r="BA33" i="4" s="1"/>
  <c r="BE23" i="4"/>
  <c r="BI23" i="4"/>
  <c r="BI33" i="4" s="1"/>
  <c r="G24" i="4"/>
  <c r="K24" i="4"/>
  <c r="AE24" i="4"/>
  <c r="AI24" i="4"/>
  <c r="AM24" i="4"/>
  <c r="AQ24" i="4"/>
  <c r="AU24" i="4"/>
  <c r="AY24" i="4"/>
  <c r="BC24" i="4"/>
  <c r="BG24" i="4"/>
  <c r="I25" i="4"/>
  <c r="M25" i="4"/>
  <c r="AG25" i="4"/>
  <c r="AK25" i="4"/>
  <c r="AO25" i="4"/>
  <c r="AS25" i="4"/>
  <c r="AW25" i="4"/>
  <c r="BA25" i="4"/>
  <c r="BE25" i="4"/>
  <c r="BI25" i="4"/>
  <c r="G26" i="4"/>
  <c r="K26" i="4"/>
  <c r="AE26" i="4"/>
  <c r="AI26" i="4"/>
  <c r="AM26" i="4"/>
  <c r="AQ26" i="4"/>
  <c r="AU26" i="4"/>
  <c r="AY26" i="4"/>
  <c r="BC26" i="4"/>
  <c r="BG26" i="4"/>
  <c r="E27" i="4"/>
  <c r="I27" i="4"/>
  <c r="I33" i="4" s="1"/>
  <c r="M27" i="4"/>
  <c r="AG27" i="4"/>
  <c r="AK27" i="4"/>
  <c r="AO27" i="4"/>
  <c r="AS27" i="4"/>
  <c r="AW27" i="4"/>
  <c r="BA27" i="4"/>
  <c r="BE27" i="4"/>
  <c r="BE33" i="4" s="1"/>
  <c r="BI27" i="4"/>
  <c r="F6" i="4"/>
  <c r="J6" i="4"/>
  <c r="J17" i="4" s="1"/>
  <c r="H8" i="4"/>
  <c r="L8" i="4"/>
  <c r="B58" i="4"/>
  <c r="E42" i="4"/>
  <c r="F23" i="4"/>
  <c r="F33" i="4" s="1"/>
  <c r="J23" i="4"/>
  <c r="J33" i="4" s="1"/>
  <c r="AD23" i="4"/>
  <c r="AD33" i="4" s="1"/>
  <c r="AH23" i="4"/>
  <c r="AH33" i="4" s="1"/>
  <c r="AL23" i="4"/>
  <c r="AL33" i="4" s="1"/>
  <c r="AP23" i="4"/>
  <c r="AT23" i="4"/>
  <c r="AX23" i="4"/>
  <c r="BB23" i="4"/>
  <c r="BB33" i="4" s="1"/>
  <c r="BF23" i="4"/>
  <c r="BF33" i="4" s="1"/>
  <c r="BJ23" i="4"/>
  <c r="BJ33" i="4" s="1"/>
  <c r="B60" i="4"/>
  <c r="E44" i="4"/>
  <c r="F25" i="4"/>
  <c r="J25" i="4"/>
  <c r="AD25" i="4"/>
  <c r="AH25" i="4"/>
  <c r="AL25" i="4"/>
  <c r="AP25" i="4"/>
  <c r="AT25" i="4"/>
  <c r="AX25" i="4"/>
  <c r="AX33" i="4" s="1"/>
  <c r="BB25" i="4"/>
  <c r="BF25" i="4"/>
  <c r="BJ25" i="4"/>
  <c r="B62" i="4"/>
  <c r="E46" i="4"/>
  <c r="G23" i="4"/>
  <c r="K23" i="4"/>
  <c r="AE23" i="4"/>
  <c r="AI23" i="4"/>
  <c r="AM23" i="4"/>
  <c r="AQ23" i="4"/>
  <c r="AU23" i="4"/>
  <c r="AY23" i="4"/>
  <c r="BC23" i="4"/>
  <c r="BG23" i="4"/>
  <c r="E24" i="4"/>
  <c r="I24" i="4"/>
  <c r="M24" i="4"/>
  <c r="AG24" i="4"/>
  <c r="AK24" i="4"/>
  <c r="AK33" i="4" s="1"/>
  <c r="AO24" i="4"/>
  <c r="AS24" i="4"/>
  <c r="AW24" i="4"/>
  <c r="AW33" i="4" s="1"/>
  <c r="BA24" i="4"/>
  <c r="BE24" i="4"/>
  <c r="BI24" i="4"/>
  <c r="G25" i="4"/>
  <c r="K25" i="4"/>
  <c r="AE25" i="4"/>
  <c r="AI25" i="4"/>
  <c r="AM25" i="4"/>
  <c r="AQ25" i="4"/>
  <c r="AU25" i="4"/>
  <c r="AY25" i="4"/>
  <c r="BC25" i="4"/>
  <c r="BG25" i="4"/>
  <c r="E26" i="4"/>
  <c r="G41" i="4"/>
  <c r="K41" i="4"/>
  <c r="F42" i="4"/>
  <c r="J42" i="4"/>
  <c r="I43" i="4"/>
  <c r="M43" i="4"/>
  <c r="H44" i="4"/>
  <c r="L44" i="4"/>
  <c r="G45" i="4"/>
  <c r="K45" i="4"/>
  <c r="F46" i="4"/>
  <c r="J46" i="4"/>
  <c r="H57" i="4"/>
  <c r="L57" i="4"/>
  <c r="G58" i="4"/>
  <c r="K58" i="4"/>
  <c r="F59" i="4"/>
  <c r="J59" i="4"/>
  <c r="I60" i="4"/>
  <c r="M60" i="4"/>
  <c r="H61" i="4"/>
  <c r="L61" i="4"/>
  <c r="G62" i="4"/>
  <c r="K62" i="4"/>
  <c r="H41" i="4"/>
  <c r="L41" i="4"/>
  <c r="G42" i="4"/>
  <c r="K42" i="4"/>
  <c r="F43" i="4"/>
  <c r="J43" i="4"/>
  <c r="I44" i="4"/>
  <c r="M44" i="4"/>
  <c r="H45" i="4"/>
  <c r="L45" i="4"/>
  <c r="G46" i="4"/>
  <c r="K46" i="4"/>
  <c r="I57" i="4"/>
  <c r="M57" i="4"/>
  <c r="H58" i="4"/>
  <c r="L58" i="4"/>
  <c r="G59" i="4"/>
  <c r="K59" i="4"/>
  <c r="F60" i="4"/>
  <c r="J60" i="4"/>
  <c r="I61" i="4"/>
  <c r="M61" i="4"/>
  <c r="H62" i="4"/>
  <c r="L62" i="4"/>
  <c r="I41" i="4"/>
  <c r="M41" i="4"/>
  <c r="H42" i="4"/>
  <c r="L42" i="4"/>
  <c r="G43" i="4"/>
  <c r="K43" i="4"/>
  <c r="F44" i="4"/>
  <c r="J44" i="4"/>
  <c r="I45" i="4"/>
  <c r="M45" i="4"/>
  <c r="H46" i="4"/>
  <c r="L46" i="4"/>
  <c r="F57" i="4"/>
  <c r="J57" i="4"/>
  <c r="I58" i="4"/>
  <c r="M58" i="4"/>
  <c r="H59" i="4"/>
  <c r="L59" i="4"/>
  <c r="G60" i="4"/>
  <c r="K60" i="4"/>
  <c r="F61" i="4"/>
  <c r="J61" i="4"/>
  <c r="I62" i="4"/>
  <c r="M62" i="4"/>
  <c r="F41" i="4"/>
  <c r="J41" i="4"/>
  <c r="J52" i="4" s="1"/>
  <c r="I42" i="4"/>
  <c r="M42" i="4"/>
  <c r="G57" i="4"/>
  <c r="K57" i="4"/>
  <c r="K68" i="4" s="1"/>
  <c r="F58" i="4"/>
  <c r="J58" i="4"/>
  <c r="F15" i="4" l="1"/>
  <c r="M76" i="2"/>
  <c r="L78" i="2"/>
  <c r="M78" i="2" s="1"/>
  <c r="N76" i="2"/>
  <c r="M72" i="2"/>
  <c r="M52" i="4"/>
  <c r="M68" i="4"/>
  <c r="K52" i="4"/>
  <c r="AY33" i="4"/>
  <c r="I81" i="2"/>
  <c r="I86" i="2" s="1"/>
  <c r="I11" i="2" s="1"/>
  <c r="AW33" i="5"/>
  <c r="AV33" i="5"/>
  <c r="B57" i="4"/>
  <c r="E41" i="4"/>
  <c r="F52" i="4"/>
  <c r="I68" i="4"/>
  <c r="H52" i="4"/>
  <c r="H68" i="4"/>
  <c r="G52" i="4"/>
  <c r="AU33" i="4"/>
  <c r="AE33" i="4"/>
  <c r="L37" i="3"/>
  <c r="BI33" i="5"/>
  <c r="AS33" i="5"/>
  <c r="M33" i="5"/>
  <c r="F52" i="5"/>
  <c r="BH33" i="5"/>
  <c r="AR33" i="5"/>
  <c r="L33" i="5"/>
  <c r="J17" i="5"/>
  <c r="BD33" i="4"/>
  <c r="L33" i="4"/>
  <c r="I17" i="4"/>
  <c r="F86" i="2"/>
  <c r="N42" i="2"/>
  <c r="M42" i="2"/>
  <c r="J68" i="4"/>
  <c r="L52" i="4"/>
  <c r="L68" i="4"/>
  <c r="AI33" i="4"/>
  <c r="I81" i="3"/>
  <c r="I86" i="3" s="1"/>
  <c r="I11" i="3" s="1"/>
  <c r="F86" i="3"/>
  <c r="AG33" i="5"/>
  <c r="L52" i="5"/>
  <c r="M68" i="5"/>
  <c r="AF33" i="5"/>
  <c r="AR33" i="4"/>
  <c r="AF33" i="4"/>
  <c r="G68" i="4"/>
  <c r="F68" i="4"/>
  <c r="I52" i="4"/>
  <c r="F17" i="4"/>
  <c r="BG33" i="4"/>
  <c r="AQ33" i="4"/>
  <c r="K33" i="4"/>
  <c r="M17" i="4"/>
  <c r="L49" i="3"/>
  <c r="L81" i="3" s="1"/>
  <c r="N41" i="3"/>
  <c r="L49" i="2"/>
  <c r="M49" i="2" s="1"/>
  <c r="G52" i="5"/>
  <c r="AU33" i="5"/>
  <c r="AE33" i="5"/>
  <c r="BE33" i="5"/>
  <c r="AO33" i="5"/>
  <c r="I33" i="5"/>
  <c r="K68" i="5"/>
  <c r="BD33" i="5"/>
  <c r="AN33" i="5"/>
  <c r="H33" i="5"/>
  <c r="F17" i="5"/>
  <c r="AZ33" i="4"/>
  <c r="AN33" i="4"/>
  <c r="M84" i="3"/>
  <c r="M17" i="5"/>
  <c r="G68" i="5"/>
  <c r="H33" i="4"/>
  <c r="I17" i="5"/>
  <c r="L86" i="3" l="1"/>
  <c r="L11" i="3" s="1"/>
  <c r="M81" i="3"/>
  <c r="M86" i="3"/>
  <c r="G15" i="4"/>
  <c r="H15" i="4" s="1"/>
  <c r="I15" i="4" s="1"/>
  <c r="J15" i="4" s="1"/>
  <c r="K15" i="4" s="1"/>
  <c r="L15" i="4" s="1"/>
  <c r="M15" i="4" s="1"/>
  <c r="F31" i="4" s="1"/>
  <c r="G31" i="4" s="1"/>
  <c r="H31" i="4" s="1"/>
  <c r="I31" i="4" s="1"/>
  <c r="J31" i="4" s="1"/>
  <c r="K31" i="4" s="1"/>
  <c r="L31" i="4" s="1"/>
  <c r="M31" i="4" s="1"/>
  <c r="F50" i="4" s="1"/>
  <c r="G50" i="4" s="1"/>
  <c r="H50" i="4" s="1"/>
  <c r="I50" i="4" s="1"/>
  <c r="J50" i="4" s="1"/>
  <c r="K50" i="4" s="1"/>
  <c r="L50" i="4" s="1"/>
  <c r="M50" i="4" s="1"/>
  <c r="F66" i="4" s="1"/>
  <c r="G66" i="4" s="1"/>
  <c r="H66" i="4" s="1"/>
  <c r="I66" i="4" s="1"/>
  <c r="J66" i="4" s="1"/>
  <c r="K66" i="4" s="1"/>
  <c r="L66" i="4" s="1"/>
  <c r="M66" i="4" s="1"/>
  <c r="AD31" i="4" s="1"/>
  <c r="AE31" i="4" s="1"/>
  <c r="AF31" i="4" s="1"/>
  <c r="AG31" i="4" s="1"/>
  <c r="AH31" i="4" s="1"/>
  <c r="AI31" i="4" s="1"/>
  <c r="AJ31" i="4" s="1"/>
  <c r="AK31" i="4" s="1"/>
  <c r="AL31" i="4" s="1"/>
  <c r="AM31" i="4" s="1"/>
  <c r="AN31" i="4" s="1"/>
  <c r="AO31" i="4" s="1"/>
  <c r="AP31" i="4" s="1"/>
  <c r="AQ31" i="4" s="1"/>
  <c r="AR31" i="4" s="1"/>
  <c r="AS31" i="4" s="1"/>
  <c r="AT31" i="4" s="1"/>
  <c r="AU31" i="4" s="1"/>
  <c r="AV31" i="4" s="1"/>
  <c r="AW31" i="4" s="1"/>
  <c r="AX31" i="4" s="1"/>
  <c r="AY31" i="4" s="1"/>
  <c r="AZ31" i="4" s="1"/>
  <c r="BA31" i="4" s="1"/>
  <c r="BB31" i="4" s="1"/>
  <c r="BC31" i="4" s="1"/>
  <c r="BD31" i="4" s="1"/>
  <c r="BE31" i="4" s="1"/>
  <c r="BF31" i="4" s="1"/>
  <c r="BG31" i="4" s="1"/>
  <c r="BH31" i="4" s="1"/>
  <c r="BI31" i="4" s="1"/>
  <c r="BJ31" i="4" s="1"/>
  <c r="F18" i="4"/>
  <c r="G14" i="4" s="1"/>
  <c r="F88" i="2"/>
  <c r="F88" i="3"/>
  <c r="F18" i="5"/>
  <c r="G14" i="5" s="1"/>
  <c r="I7" i="3"/>
  <c r="I22" i="3"/>
  <c r="I84" i="3" s="1"/>
  <c r="I88" i="3" s="1"/>
  <c r="I7" i="2"/>
  <c r="I22" i="2"/>
  <c r="I84" i="2" s="1"/>
  <c r="I88" i="2" s="1"/>
  <c r="L81" i="2"/>
  <c r="L86" i="2" l="1"/>
  <c r="M81" i="2"/>
  <c r="G18" i="5"/>
  <c r="H14" i="5" s="1"/>
  <c r="G18" i="4"/>
  <c r="H14" i="4" s="1"/>
  <c r="L22" i="3"/>
  <c r="L84" i="3" s="1"/>
  <c r="L88" i="3" s="1"/>
  <c r="L7" i="3"/>
  <c r="L96" i="3" l="1"/>
  <c r="N7" i="3"/>
  <c r="H18" i="5"/>
  <c r="I14" i="5" s="1"/>
  <c r="H18" i="4"/>
  <c r="I14" i="4" s="1"/>
  <c r="L11" i="2"/>
  <c r="M86" i="2"/>
  <c r="L22" i="2" l="1"/>
  <c r="L7" i="2"/>
  <c r="I18" i="5"/>
  <c r="J14" i="5" s="1"/>
  <c r="O7" i="3"/>
  <c r="O96" i="3" s="1"/>
  <c r="N96" i="3"/>
  <c r="M7" i="3"/>
  <c r="M96" i="3" s="1"/>
  <c r="I18" i="4"/>
  <c r="J14" i="4" s="1"/>
  <c r="J18" i="4" l="1"/>
  <c r="K14" i="4" s="1"/>
  <c r="J18" i="5"/>
  <c r="K14" i="5" s="1"/>
  <c r="L96" i="2"/>
  <c r="P7" i="2"/>
  <c r="P96" i="2" s="1"/>
  <c r="N7" i="2"/>
  <c r="L84" i="2"/>
  <c r="M22" i="2"/>
  <c r="K18" i="5" l="1"/>
  <c r="L14" i="5" s="1"/>
  <c r="L88" i="2"/>
  <c r="M84" i="2"/>
  <c r="N96" i="2"/>
  <c r="O7" i="2"/>
  <c r="O96" i="2" s="1"/>
  <c r="M7" i="2"/>
  <c r="M96" i="2" s="1"/>
  <c r="K18" i="4"/>
  <c r="L14" i="4" s="1"/>
  <c r="L18" i="4" l="1"/>
  <c r="M14" i="4" s="1"/>
  <c r="L18" i="5"/>
  <c r="M14" i="5" s="1"/>
  <c r="M18" i="5" l="1"/>
  <c r="F30" i="5" s="1"/>
  <c r="M18" i="4"/>
  <c r="F30" i="4" s="1"/>
  <c r="F34" i="4" l="1"/>
  <c r="G30" i="4" s="1"/>
  <c r="F34" i="5"/>
  <c r="G30" i="5" s="1"/>
  <c r="G34" i="5" l="1"/>
  <c r="H30" i="5" s="1"/>
  <c r="G34" i="4"/>
  <c r="H30" i="4" s="1"/>
  <c r="H34" i="4" l="1"/>
  <c r="I30" i="4" s="1"/>
  <c r="H34" i="5"/>
  <c r="I30" i="5" s="1"/>
  <c r="I34" i="5" l="1"/>
  <c r="J30" i="5" s="1"/>
  <c r="I34" i="4"/>
  <c r="J30" i="4" s="1"/>
  <c r="J34" i="4" l="1"/>
  <c r="K30" i="4" s="1"/>
  <c r="J34" i="5"/>
  <c r="K30" i="5" s="1"/>
  <c r="K34" i="5" l="1"/>
  <c r="L30" i="5" s="1"/>
  <c r="K34" i="4"/>
  <c r="L30" i="4" s="1"/>
  <c r="L34" i="4" l="1"/>
  <c r="M30" i="4" s="1"/>
  <c r="L34" i="5"/>
  <c r="M30" i="5" s="1"/>
  <c r="M34" i="5" l="1"/>
  <c r="F49" i="5" s="1"/>
  <c r="M34" i="4"/>
  <c r="F49" i="4" s="1"/>
  <c r="F53" i="4" l="1"/>
  <c r="G49" i="4" s="1"/>
  <c r="F53" i="5"/>
  <c r="G49" i="5" s="1"/>
  <c r="G53" i="5" l="1"/>
  <c r="H49" i="5" s="1"/>
  <c r="G53" i="4"/>
  <c r="H49" i="4" s="1"/>
  <c r="H53" i="4" l="1"/>
  <c r="I49" i="4" s="1"/>
  <c r="H51" i="4"/>
  <c r="G51" i="4" s="1"/>
  <c r="F51" i="4" s="1"/>
  <c r="M32" i="4" s="1"/>
  <c r="L32" i="4" s="1"/>
  <c r="K32" i="4" s="1"/>
  <c r="J32" i="4" s="1"/>
  <c r="I32" i="4" s="1"/>
  <c r="H32" i="4" s="1"/>
  <c r="G32" i="4" s="1"/>
  <c r="F32" i="4" s="1"/>
  <c r="M16" i="4" s="1"/>
  <c r="L16" i="4" s="1"/>
  <c r="K16" i="4" s="1"/>
  <c r="J16" i="4" s="1"/>
  <c r="I16" i="4" s="1"/>
  <c r="H16" i="4" s="1"/>
  <c r="G16" i="4" s="1"/>
  <c r="F16" i="4" s="1"/>
  <c r="H53" i="5"/>
  <c r="I49" i="5" s="1"/>
  <c r="I53" i="5" l="1"/>
  <c r="J49" i="5" s="1"/>
  <c r="I53" i="4"/>
  <c r="J49" i="4" s="1"/>
  <c r="J53" i="4" l="1"/>
  <c r="K49" i="4" s="1"/>
  <c r="J53" i="5"/>
  <c r="K49" i="5" s="1"/>
  <c r="K53" i="5" l="1"/>
  <c r="L49" i="5" s="1"/>
  <c r="K53" i="4"/>
  <c r="L49" i="4" s="1"/>
  <c r="L53" i="4" l="1"/>
  <c r="M49" i="4" s="1"/>
  <c r="L51" i="4"/>
  <c r="K51" i="4" s="1"/>
  <c r="J51" i="4" s="1"/>
  <c r="I51" i="4" s="1"/>
  <c r="L53" i="5"/>
  <c r="M49" i="5" s="1"/>
  <c r="M53" i="5" l="1"/>
  <c r="F65" i="5" s="1"/>
  <c r="M53" i="4"/>
  <c r="F65" i="4" s="1"/>
  <c r="F69" i="4" l="1"/>
  <c r="G65" i="4" s="1"/>
  <c r="F69" i="5"/>
  <c r="G65" i="5" s="1"/>
  <c r="G69" i="5" l="1"/>
  <c r="H65" i="5" s="1"/>
  <c r="G69" i="4"/>
  <c r="H65" i="4" s="1"/>
  <c r="H69" i="4" l="1"/>
  <c r="I65" i="4" s="1"/>
  <c r="H69" i="5"/>
  <c r="I65" i="5" s="1"/>
  <c r="I69" i="5" l="1"/>
  <c r="J65" i="5" s="1"/>
  <c r="I69" i="4"/>
  <c r="J65" i="4" s="1"/>
  <c r="J69" i="4" l="1"/>
  <c r="K65" i="4" s="1"/>
  <c r="J69" i="5"/>
  <c r="K65" i="5" s="1"/>
  <c r="K69" i="5" l="1"/>
  <c r="L65" i="5" s="1"/>
  <c r="K69" i="4"/>
  <c r="L65" i="4" s="1"/>
  <c r="L69" i="4" l="1"/>
  <c r="M65" i="4" s="1"/>
  <c r="L69" i="5"/>
  <c r="M65" i="5" s="1"/>
  <c r="M69" i="5" l="1"/>
  <c r="AD30" i="5" s="1"/>
  <c r="M69" i="4"/>
  <c r="AD30" i="4" s="1"/>
  <c r="AD34" i="4" l="1"/>
  <c r="AE30" i="4" s="1"/>
  <c r="AD34" i="5"/>
  <c r="AE30" i="5" s="1"/>
  <c r="AE34" i="5" l="1"/>
  <c r="AF30" i="5" s="1"/>
  <c r="AE34" i="4"/>
  <c r="AF30" i="4" s="1"/>
  <c r="AF34" i="4" l="1"/>
  <c r="AG30" i="4" s="1"/>
  <c r="AF32" i="4"/>
  <c r="AE32" i="4" s="1"/>
  <c r="AD32" i="4" s="1"/>
  <c r="M67" i="4" s="1"/>
  <c r="L67" i="4" s="1"/>
  <c r="K67" i="4" s="1"/>
  <c r="J67" i="4" s="1"/>
  <c r="I67" i="4" s="1"/>
  <c r="H67" i="4" s="1"/>
  <c r="G67" i="4" s="1"/>
  <c r="F67" i="4" s="1"/>
  <c r="M51" i="4" s="1"/>
  <c r="AF34" i="5"/>
  <c r="AG30" i="5" s="1"/>
  <c r="AG34" i="5" l="1"/>
  <c r="AH30" i="5" s="1"/>
  <c r="AG34" i="4"/>
  <c r="AH30" i="4" s="1"/>
  <c r="AH34" i="4" l="1"/>
  <c r="AI30" i="4" s="1"/>
  <c r="AH34" i="5"/>
  <c r="AI30" i="5" s="1"/>
  <c r="AI34" i="5" l="1"/>
  <c r="AJ30" i="5" s="1"/>
  <c r="AI34" i="4"/>
  <c r="AJ30" i="4" s="1"/>
  <c r="AJ34" i="4" l="1"/>
  <c r="AK30" i="4" s="1"/>
  <c r="AJ32" i="4"/>
  <c r="AI32" i="4" s="1"/>
  <c r="AH32" i="4" s="1"/>
  <c r="AG32" i="4" s="1"/>
  <c r="AJ34" i="5"/>
  <c r="AK30" i="5" s="1"/>
  <c r="AK34" i="5" l="1"/>
  <c r="AL30" i="5" s="1"/>
  <c r="AK34" i="4"/>
  <c r="AL30" i="4" s="1"/>
  <c r="AL34" i="4" l="1"/>
  <c r="AM30" i="4" s="1"/>
  <c r="AL34" i="5"/>
  <c r="AM30" i="5" s="1"/>
  <c r="AM34" i="5" l="1"/>
  <c r="AN30" i="5" s="1"/>
  <c r="AM34" i="4"/>
  <c r="AN30" i="4" s="1"/>
  <c r="AN34" i="4" l="1"/>
  <c r="AO30" i="4" s="1"/>
  <c r="AN34" i="5"/>
  <c r="AO30" i="5" s="1"/>
  <c r="AO34" i="5" l="1"/>
  <c r="AP30" i="5" s="1"/>
  <c r="AO34" i="4"/>
  <c r="AP30" i="4" s="1"/>
  <c r="AP34" i="4" l="1"/>
  <c r="AQ30" i="4" s="1"/>
  <c r="AP34" i="5"/>
  <c r="AQ30" i="5" s="1"/>
  <c r="AQ34" i="5" l="1"/>
  <c r="AR30" i="5" s="1"/>
  <c r="AQ34" i="4"/>
  <c r="AR30" i="4" s="1"/>
  <c r="AR34" i="4" l="1"/>
  <c r="AS30" i="4" s="1"/>
  <c r="AR32" i="4"/>
  <c r="AQ32" i="4" s="1"/>
  <c r="AP32" i="4" s="1"/>
  <c r="AO32" i="4" s="1"/>
  <c r="AN32" i="4" s="1"/>
  <c r="AM32" i="4" s="1"/>
  <c r="AL32" i="4" s="1"/>
  <c r="AK32" i="4" s="1"/>
  <c r="AR34" i="5"/>
  <c r="AS30" i="5" s="1"/>
  <c r="AS34" i="5" l="1"/>
  <c r="AT30" i="5" s="1"/>
  <c r="AS34" i="4"/>
  <c r="AT30" i="4" s="1"/>
  <c r="AT34" i="4" l="1"/>
  <c r="AU30" i="4" s="1"/>
  <c r="AT34" i="5"/>
  <c r="AU30" i="5" s="1"/>
  <c r="AU34" i="5" l="1"/>
  <c r="AV30" i="5" s="1"/>
  <c r="AU34" i="4"/>
  <c r="AV30" i="4" s="1"/>
  <c r="AV34" i="4" l="1"/>
  <c r="AW30" i="4" s="1"/>
  <c r="AV34" i="5"/>
  <c r="AW30" i="5" s="1"/>
  <c r="AW34" i="5" l="1"/>
  <c r="AX30" i="5" s="1"/>
  <c r="AW34" i="4"/>
  <c r="AX30" i="4" s="1"/>
  <c r="AX34" i="4" l="1"/>
  <c r="AY30" i="4" s="1"/>
  <c r="AX34" i="5"/>
  <c r="AY30" i="5" s="1"/>
  <c r="AY34" i="5" l="1"/>
  <c r="AZ30" i="5" s="1"/>
  <c r="AY34" i="4"/>
  <c r="AZ30" i="4" s="1"/>
  <c r="AZ34" i="4" l="1"/>
  <c r="BA30" i="4" s="1"/>
  <c r="AZ34" i="5"/>
  <c r="BA30" i="5" s="1"/>
  <c r="BA34" i="5" l="1"/>
  <c r="BB30" i="5" s="1"/>
  <c r="BA34" i="4"/>
  <c r="BB30" i="4" s="1"/>
  <c r="BB34" i="4" l="1"/>
  <c r="BC30" i="4" s="1"/>
  <c r="BB34" i="5"/>
  <c r="BC30" i="5" s="1"/>
  <c r="BC34" i="5" l="1"/>
  <c r="BD30" i="5" s="1"/>
  <c r="BC34" i="4"/>
  <c r="BD30" i="4" s="1"/>
  <c r="BD34" i="4" l="1"/>
  <c r="BE30" i="4" s="1"/>
  <c r="BD32" i="4"/>
  <c r="BC32" i="4" s="1"/>
  <c r="BB32" i="4" s="1"/>
  <c r="BA32" i="4" s="1"/>
  <c r="AZ32" i="4" s="1"/>
  <c r="AY32" i="4" s="1"/>
  <c r="AX32" i="4" s="1"/>
  <c r="AW32" i="4" s="1"/>
  <c r="AV32" i="4" s="1"/>
  <c r="AU32" i="4" s="1"/>
  <c r="AT32" i="4" s="1"/>
  <c r="AS32" i="4" s="1"/>
  <c r="BD34" i="5"/>
  <c r="BE30" i="5" s="1"/>
  <c r="BE34" i="5" l="1"/>
  <c r="BF30" i="5" s="1"/>
  <c r="BE34" i="4"/>
  <c r="BF30" i="4" s="1"/>
  <c r="BF34" i="4" l="1"/>
  <c r="BG30" i="4" s="1"/>
  <c r="BF34" i="5"/>
  <c r="BG30" i="5" s="1"/>
  <c r="BG34" i="5" l="1"/>
  <c r="BH30" i="5" s="1"/>
  <c r="BG34" i="4"/>
  <c r="BH30" i="4" s="1"/>
  <c r="BH34" i="4" l="1"/>
  <c r="BI30" i="4" s="1"/>
  <c r="BH34" i="5"/>
  <c r="BI30" i="5" s="1"/>
  <c r="BI34" i="5" l="1"/>
  <c r="BJ30" i="5" s="1"/>
  <c r="BI34" i="4"/>
  <c r="BJ30" i="4" s="1"/>
  <c r="BJ34" i="4" l="1"/>
  <c r="BJ32" i="4"/>
  <c r="BI32" i="4" s="1"/>
  <c r="BH32" i="4" s="1"/>
  <c r="BG32" i="4" s="1"/>
  <c r="BF32" i="4" s="1"/>
  <c r="BE32" i="4" s="1"/>
  <c r="BJ34" i="5"/>
  <c r="BJ32" i="5"/>
  <c r="BI32" i="5" s="1"/>
  <c r="BH32" i="5" s="1"/>
  <c r="BG32" i="5" s="1"/>
  <c r="BF32" i="5" s="1"/>
  <c r="BE32" i="5" s="1"/>
  <c r="BD32" i="5" s="1"/>
  <c r="BC32" i="5" s="1"/>
  <c r="BB32" i="5" s="1"/>
  <c r="BA32" i="5" s="1"/>
  <c r="AZ32" i="5" s="1"/>
  <c r="AY32" i="5" s="1"/>
  <c r="AX32" i="5" s="1"/>
  <c r="AW32" i="5" s="1"/>
  <c r="AV32" i="5" s="1"/>
  <c r="AU32" i="5" s="1"/>
  <c r="AT32" i="5" s="1"/>
  <c r="AS32" i="5" s="1"/>
  <c r="AR32" i="5" s="1"/>
  <c r="AQ32" i="5" s="1"/>
  <c r="AP32" i="5" s="1"/>
  <c r="AO32" i="5" s="1"/>
  <c r="AN32" i="5" s="1"/>
  <c r="AM32" i="5" s="1"/>
  <c r="AL32" i="5" s="1"/>
  <c r="AK32" i="5" s="1"/>
  <c r="AJ32" i="5" s="1"/>
  <c r="AI32" i="5" s="1"/>
  <c r="AH32" i="5" s="1"/>
  <c r="AG32" i="5" s="1"/>
  <c r="AF32" i="5" s="1"/>
  <c r="AE32" i="5" s="1"/>
  <c r="AD32" i="5" s="1"/>
  <c r="M67" i="5" s="1"/>
  <c r="L67" i="5" s="1"/>
  <c r="K67" i="5" s="1"/>
  <c r="J67" i="5" s="1"/>
  <c r="I67" i="5" s="1"/>
  <c r="H67" i="5" s="1"/>
  <c r="G67" i="5" s="1"/>
  <c r="F67" i="5" s="1"/>
  <c r="M51" i="5" s="1"/>
  <c r="L51" i="5" s="1"/>
  <c r="K51" i="5" s="1"/>
  <c r="J51" i="5" s="1"/>
  <c r="I51" i="5" s="1"/>
  <c r="H51" i="5" s="1"/>
  <c r="G51" i="5" s="1"/>
  <c r="F51" i="5" s="1"/>
  <c r="M32" i="5" s="1"/>
  <c r="L32" i="5" s="1"/>
  <c r="K32" i="5" s="1"/>
  <c r="J32" i="5" s="1"/>
  <c r="I32" i="5" s="1"/>
  <c r="H32" i="5" s="1"/>
  <c r="G32" i="5" s="1"/>
  <c r="F32" i="5" s="1"/>
  <c r="M16" i="5" s="1"/>
  <c r="L16" i="5" s="1"/>
  <c r="K16" i="5" s="1"/>
  <c r="J16" i="5" s="1"/>
  <c r="I16" i="5" s="1"/>
  <c r="H16" i="5" s="1"/>
  <c r="G16" i="5" s="1"/>
  <c r="F16" i="5" s="1"/>
</calcChain>
</file>

<file path=xl/sharedStrings.xml><?xml version="1.0" encoding="utf-8"?>
<sst xmlns="http://schemas.openxmlformats.org/spreadsheetml/2006/main" count="302" uniqueCount="144">
  <si>
    <t>Pooled Reserve Schedule</t>
  </si>
  <si>
    <t>First Year</t>
  </si>
  <si>
    <t>Update the first year!</t>
  </si>
  <si>
    <t>number of units</t>
  </si>
  <si>
    <t>assessment amount</t>
  </si>
  <si>
    <t>calulation per unit</t>
  </si>
  <si>
    <t>assessment calculation model</t>
  </si>
  <si>
    <t>Category</t>
  </si>
  <si>
    <t>Replacement Cost</t>
  </si>
  <si>
    <t>Useful Life</t>
  </si>
  <si>
    <t>Remaining Life</t>
  </si>
  <si>
    <t>Maturity Year</t>
  </si>
  <si>
    <t>Roof- Replacement</t>
  </si>
  <si>
    <t>Buildings - Repaint</t>
  </si>
  <si>
    <t>Beginning Cash Balance</t>
  </si>
  <si>
    <t>Annual Reserve Contribution</t>
  </si>
  <si>
    <t>Projected Shortfall to Next Funding Gap</t>
  </si>
  <si>
    <t>Total Expenditures</t>
  </si>
  <si>
    <t>Ending Cash (Assumes Gap Funded)</t>
  </si>
  <si>
    <t>Annual replacement cost inflation</t>
  </si>
  <si>
    <t>HOA BUDGET PLANNING WORKSHEET</t>
  </si>
  <si>
    <t>Purpose, Application &amp; User Instructions</t>
  </si>
  <si>
    <t>PURPOSE OF THE TOOL</t>
  </si>
  <si>
    <t>This worksheet helps an association Board develop its annual operating budget using current financial information, annualized estimates, the existing approved budget, proposed adjustments, owner assessment calculations, and reserve planning. It is a planning and decision-support tool and does not replace the association’s accounting records, reserve study, governing documents, or appropriate professional advice.</t>
  </si>
  <si>
    <t>PART I — OPERATING BUDGET PLANNING</t>
  </si>
  <si>
    <t>1. Enter Planning Information</t>
  </si>
  <si>
    <t>Enter the association name, budget period, number of units, and the number of months of actual financial activity being used. The number of completed months is important because the worksheet uses it to annualize current activity.</t>
  </si>
  <si>
    <t>2. Enter Current Financial Information</t>
  </si>
  <si>
    <t>Using the most recent financial statements, enter year-to-date income and expense amounts in the designated input cells. Whenever possible, use account numbers and descriptions that correspond with the association’s chart of accounts.</t>
  </si>
  <si>
    <t>3. Review the 12-Month Annual Estimate</t>
  </si>
  <si>
    <t>The worksheet annualizes year-to-date activity to provide an estimate of where the association may finish the year. This is a planning estimate—not a guarantee. Seasonal, annual, one-time, and unusual expenses require Board review.</t>
  </si>
  <si>
    <t>4. Compare the Forecast to the Current Approved Budget</t>
  </si>
  <si>
    <t>Review accounts that appear to be tracking above or below budget. Investigate significant differences and determine whether they represent timing differences, unusual expenses, contractual changes, or continuing trends.</t>
  </si>
  <si>
    <t>5. Develop the Proposed Budget</t>
  </si>
  <si>
    <t>Evaluate each income and expense category for the coming year. Consider contracts, insurance, utilities, maintenance, professional services, planned projects, inflation, operational changes, and reserve funding requirements.</t>
  </si>
  <si>
    <t>6. Use Manual Overrides When Appropriate</t>
  </si>
  <si>
    <t>Where the calculated forecast does not reflect known future conditions, use the designated manual adjustment/override area. Known information—such as a new vendor contract or insurance quote—should generally take precedence over a simple mathematical projection.</t>
  </si>
  <si>
    <t>7. Review Assessment Impact</t>
  </si>
  <si>
    <t>Review the resulting monthly, quarterly, and annual assessment impact and the percentage increase or decrease. This allows the Board to understand the owner impact while the budget is being developed.</t>
  </si>
  <si>
    <t>PART II — RESERVES PLANNER</t>
  </si>
  <si>
    <t>1. Enter Reserve Components</t>
  </si>
  <si>
    <t>Enter the major reserve components applicable to the association using the reserve study, engineering information, historical records, professional estimates, or other reliable documentation.</t>
  </si>
  <si>
    <t>2. Enter Funding Information</t>
  </si>
  <si>
    <t>Enter applicable replacement costs, useful life, remaining life, reserve balances, planned contributions, and other requested funding information.</t>
  </si>
  <si>
    <t>3. Review the Maturity Forecast</t>
  </si>
  <si>
    <t>The planner projects when components are expected to mature or require replacement. Review years in which several significant components may come due within a short period.</t>
  </si>
  <si>
    <t>4. Review Projected Funding Requirements</t>
  </si>
  <si>
    <t>Compare projected reserve resources with anticipated component expenditures. A projected shortfall is an early-warning planning indicator; it does not automatically mean that a special assessment will be required.</t>
  </si>
  <si>
    <t>5. Investigate Projected Shortfalls</t>
  </si>
  <si>
    <t>Where a shortfall appears, the Board should evaluate reserve contributions, replacement-cost assumptions, project timing, reserve-study information, and other lawful funding alternatives as appropriate.</t>
  </si>
  <si>
    <t>RECOMMENDED ANNUAL BUDGET PROCESS</t>
  </si>
  <si>
    <t>1. Update the most recent year-to-date financial information.</t>
  </si>
  <si>
    <t>2. Review the annualized forecast and identify unusual projections.</t>
  </si>
  <si>
    <t>3. Compare the forecast with the current approved budget.</t>
  </si>
  <si>
    <t>4. Update known contracts and anticipated future expenses.</t>
  </si>
  <si>
    <t>5. Develop and review the proposed operating budget.</t>
  </si>
  <si>
    <t>6. Update and review reserve information and future obligations.</t>
  </si>
  <si>
    <t>7. Review the owner assessment impact.</t>
  </si>
  <si>
    <t>8. Review the complete budget as a Board.</t>
  </si>
  <si>
    <t>9. Obtain appropriate professional review where needed.</t>
  </si>
  <si>
    <t>10. Adopt the final budget in accordance with governing documents and applicable requirements.</t>
  </si>
  <si>
    <t>IMPORTANT USER PRACTICES</t>
  </si>
  <si>
    <t>• Enter information only in designated input cells. Cells containing formulas should not normally be changed.</t>
  </si>
  <si>
    <t>• Do not assume every annualized calculation is appropriate for budgeting purposes. Apply Board judgment.</t>
  </si>
  <si>
    <t>• Use known information whenever available instead of relying solely on projections.</t>
  </si>
  <si>
    <t>• Review operating expenses and reserves together to understand the association’s complete financial requirements.</t>
  </si>
  <si>
    <t>HOW TO THINK ABOUT THE TOOL</t>
  </si>
  <si>
    <t>Actual Results → Annual Forecast → Current Budget Comparison → Proposed Budget → Board Adjustments → Final Budget → Owner Assessment Impact → Long-Term Reserve Outlook</t>
  </si>
  <si>
    <t>The formulas perform the calculations. The Board provides the judgment.</t>
  </si>
  <si>
    <t>Reserve replacement costs are entered in first-year dollars and increased using the annual inflation rate on each reserves sheet (B76). Set this rate to 0% if your entered costs already represent future replacement amounts.</t>
  </si>
  <si>
    <t>Projected Shortfall to Next Funding Gap shows the next anticipated funding gap, plus contributions remaining until that gap. It generally decreases as annual contributions are made. It is a planning indicator, not money collected each year.</t>
  </si>
  <si>
    <t>Ending reserve cash assumes a special assessment or other funding covers each actual annual gap. Hidden continuation years extend the forecast; the indicator looks only within that modeled period.</t>
  </si>
  <si>
    <t>F76 on each budget sheet supplies the baseline annual reserve contribution. K76 adjusts the final proposed contribution; the reserve forecast uses the final contribution including that adjustment. Prior-year surplus for the proposed budget is entered in I12. Formula protection uses no password: Review &gt; Unprotect Sheet.</t>
  </si>
  <si>
    <t>Date</t>
  </si>
  <si>
    <t>proposed Budget Draft</t>
  </si>
  <si>
    <t>months completed on latest monthly financial numbers report</t>
  </si>
  <si>
    <t xml:space="preserve">thru </t>
  </si>
  <si>
    <t>units</t>
  </si>
  <si>
    <t>YOUR ASSOCIATION</t>
  </si>
  <si>
    <t>Annual Estimate based on 12 months</t>
  </si>
  <si>
    <t>Current Year Approved Budget</t>
  </si>
  <si>
    <t>Pct.% IncreaseEstimate</t>
  </si>
  <si>
    <t>2027 Proposed Budget Draft calculated</t>
  </si>
  <si>
    <t>manual overide enter +/- dollar amount for inc. dec.</t>
  </si>
  <si>
    <t xml:space="preserve">2027 Proposed Budget Final </t>
  </si>
  <si>
    <t>Monthly Increase</t>
  </si>
  <si>
    <t>Quarterly Increase</t>
  </si>
  <si>
    <t>Year Increase</t>
  </si>
  <si>
    <t>INC / DEC</t>
  </si>
  <si>
    <t>Quarterly Fees</t>
  </si>
  <si>
    <t>acct#</t>
  </si>
  <si>
    <t>Income</t>
  </si>
  <si>
    <t xml:space="preserve"> </t>
  </si>
  <si>
    <t>Maintenance Assessment</t>
  </si>
  <si>
    <t>Prior Year Surplus</t>
  </si>
  <si>
    <t>Late Fee Income</t>
  </si>
  <si>
    <t>Bank Interest Income</t>
  </si>
  <si>
    <t>Delq Owner Interest</t>
  </si>
  <si>
    <t>Reimbursement</t>
  </si>
  <si>
    <t>Total Income</t>
  </si>
  <si>
    <t>Adminstrative Expenses</t>
  </si>
  <si>
    <t>Accounting Fees</t>
  </si>
  <si>
    <t>Legal Fees</t>
  </si>
  <si>
    <t>Management Fee</t>
  </si>
  <si>
    <t>Office Supplies</t>
  </si>
  <si>
    <t>Entertainment Expenses</t>
  </si>
  <si>
    <t>Insurance Expense</t>
  </si>
  <si>
    <t>Umbrella Association Fees</t>
  </si>
  <si>
    <t>Corporate Annual Report</t>
  </si>
  <si>
    <t>Misc</t>
  </si>
  <si>
    <t>Internet</t>
  </si>
  <si>
    <t>Total Administrative Expenses</t>
  </si>
  <si>
    <t>Utilities</t>
  </si>
  <si>
    <t>Electricity</t>
  </si>
  <si>
    <t>Water</t>
  </si>
  <si>
    <t>Sewer</t>
  </si>
  <si>
    <t>Cable TV</t>
  </si>
  <si>
    <t>Total Utilities Expenses</t>
  </si>
  <si>
    <t>Operational Expenses</t>
  </si>
  <si>
    <t>Lawn Maintenance</t>
  </si>
  <si>
    <t>Lawn Pest Control</t>
  </si>
  <si>
    <t>Irrigation Maintenance</t>
  </si>
  <si>
    <t>Holiday/Garden Beautification</t>
  </si>
  <si>
    <t>Repairs and Maintenance</t>
  </si>
  <si>
    <t>Mulch</t>
  </si>
  <si>
    <t>Palm / Tree Trimming /Removal / Replace</t>
  </si>
  <si>
    <t>Fertilize</t>
  </si>
  <si>
    <t>Swim Club Fees</t>
  </si>
  <si>
    <t>Special Projects</t>
  </si>
  <si>
    <t>misc</t>
  </si>
  <si>
    <t>Total Operational Expenses</t>
  </si>
  <si>
    <t>Reserve Funding</t>
  </si>
  <si>
    <t>Total Reserve Funding</t>
  </si>
  <si>
    <t>Total Expense</t>
  </si>
  <si>
    <t xml:space="preserve">Consolidated Net Total </t>
  </si>
  <si>
    <t>step 1</t>
  </si>
  <si>
    <t>initial setup entries</t>
  </si>
  <si>
    <t>Quarter Increase</t>
  </si>
  <si>
    <t>YEAR Increase</t>
  </si>
  <si>
    <t>step 2</t>
  </si>
  <si>
    <t>percentages and manual overides to work your budget</t>
  </si>
  <si>
    <t>step 3</t>
  </si>
  <si>
    <t xml:space="preserve">review results of your budget calculations </t>
  </si>
  <si>
    <t>Formula cells are protected. Enter or revise information only in the available input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</si>
</sst>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_(\$* #,##0.00_);_(\$* \(#,##0.00\);_(\$* \-??_);_(@_)"/>
    <numFmt numFmtId="166" formatCode="\$#,##0.00"/>
    <numFmt numFmtId="167" formatCode="_(* #,##0.00_);_(* \(#,##0.00\);_(* \-??_);_(@_)"/>
    <numFmt numFmtId="168" formatCode="#,##0;\(#,##0\);&quot;-&quot;;@"/>
    <numFmt numFmtId="169" formatCode="\$#,##0;\(\$#,##0\);&quot;-&quot;;@"/>
    <numFmt numFmtId="170" formatCode="0_);\(0\);&quot;-&quot;;@"/>
    <numFmt numFmtId="171" formatCode="\$#,##0_);&quot;($&quot;#,##0\);&quot;-&quot;;@"/>
    <numFmt numFmtId="172" formatCode="_(* #,##0.00_);_(* \(#,##0.00\);&quot;-&quot;;@"/>
    <numFmt numFmtId="173" formatCode="&quot;$&quot;#,##0_);\(&quot;$&quot;#,##0\);&quot;-&quot;;@"/>
  </numFmts>
  <fonts count="33" x14ac:knownFonts="1">
    <font>
      <sz val="11"/>
      <color theme="1"/>
      <name val="Aptos Narrow"/>
    </font>
    <font>
      <sz val="10"/>
      <name val="Arial"/>
    </font>
    <font>
      <sz val="11"/>
      <color theme="1"/>
      <name val="Arial Narrow"/>
    </font>
    <font>
      <sz val="22"/>
      <color rgb="FF000000"/>
      <name val="Arial Narrow"/>
    </font>
    <font>
      <sz val="11"/>
      <color rgb="FF000000"/>
      <name val="Arial Narrow"/>
    </font>
    <font>
      <b/>
      <sz val="10"/>
      <color rgb="FF000000"/>
      <name val="Arial Narrow"/>
    </font>
    <font>
      <b/>
      <sz val="11"/>
      <color rgb="FF000000"/>
      <name val="Arial Narrow"/>
    </font>
    <font>
      <b/>
      <sz val="11"/>
      <color theme="1"/>
      <name val="Arial Narrow"/>
    </font>
    <font>
      <sz val="11"/>
      <name val="Arial Narrow"/>
    </font>
    <font>
      <b/>
      <sz val="11"/>
      <name val="Arial Narrow"/>
    </font>
    <font>
      <b/>
      <sz val="11"/>
      <color theme="1"/>
      <name val="Aptos Narrow"/>
    </font>
    <font>
      <sz val="11"/>
      <color theme="1"/>
      <name val="Arial Narrow"/>
    </font>
    <font>
      <sz val="11"/>
      <name val="Arial Narrow"/>
    </font>
    <font>
      <sz val="11"/>
      <color rgb="FF000000"/>
      <name val="Arial Narrow"/>
    </font>
    <font>
      <b/>
      <sz val="11"/>
      <color theme="9"/>
      <name val="Arial Narrow"/>
    </font>
    <font>
      <b/>
      <sz val="11"/>
      <color theme="9"/>
      <name val="Aptos Narrow"/>
    </font>
    <font>
      <b/>
      <sz val="11"/>
      <color theme="1"/>
      <name val="Arial Narrow"/>
    </font>
    <font>
      <sz val="11"/>
      <color theme="1"/>
      <name val="Aptos Narrow"/>
    </font>
    <font>
      <b/>
      <sz val="11"/>
      <color rgb="FF000000"/>
      <name val="Arial Narrow"/>
    </font>
    <font>
      <sz val="10"/>
      <color theme="1"/>
      <name val="Aptos"/>
    </font>
    <font>
      <b/>
      <sz val="18"/>
      <color rgb="FFFFFFFF"/>
      <name val="Aptos Display"/>
    </font>
    <font>
      <b/>
      <sz val="12"/>
      <color theme="1"/>
      <name val="Aptos"/>
    </font>
    <font>
      <b/>
      <sz val="11"/>
      <color theme="1"/>
      <name val="Aptos"/>
    </font>
    <font>
      <b/>
      <sz val="10"/>
      <color theme="1"/>
      <name val="Aptos"/>
      <family val="2"/>
    </font>
    <font>
      <b/>
      <sz val="11"/>
      <color theme="1"/>
      <name val="Aptos Narrow"/>
      <family val="2"/>
    </font>
    <font>
      <sz val="8"/>
      <name val="Arial"/>
      <family val="2"/>
    </font>
    <font>
      <b/>
      <sz val="11"/>
      <color rgb="FF000000"/>
      <name val="Arial Narrow"/>
      <family val="2"/>
    </font>
    <font>
      <b/>
      <sz val="11"/>
      <color theme="1"/>
      <name val="Arial Narrow"/>
      <family val="2"/>
    </font>
    <font>
      <sz val="11"/>
      <color rgb="FF000000"/>
      <name val="Arial Narrow"/>
      <family val="2"/>
    </font>
    <font>
      <sz val="11"/>
      <color rgb="FF000000"/>
      <name val="Aptos Narrow"/>
    </font>
    <font>
      <sz val="11"/>
      <color rgb="FF000000"/>
      <name val="Arial Narrow"/>
    </font>
    <font>
      <b/>
      <sz val="11"/>
      <color rgb="FF000000"/>
      <name val="Arial Narrow"/>
    </font>
    <font>
      <sz val="11"/>
      <color rgb="FF000000"/>
      <name val="Arial Narrow"/>
    </font>
  </fonts>
  <fills count="17">
    <fill>
      <patternFill patternType="none"/>
    </fill>
    <fill>
      <patternFill patternType="gray125"/>
    </fill>
    <fill>
      <patternFill patternType="solid">
        <fgColor theme="3" tint="0.89989928891872917"/>
        <bgColor indexed="65"/>
      </patternFill>
    </fill>
    <fill>
      <patternFill patternType="solid">
        <fgColor theme="6" tint="0.79979857783745845"/>
        <bgColor indexed="65"/>
      </patternFill>
    </fill>
    <fill>
      <patternFill patternType="solid">
        <fgColor rgb="FFFFFFFF"/>
      </patternFill>
    </fill>
    <fill>
      <patternFill patternType="solid">
        <fgColor theme="2"/>
      </patternFill>
    </fill>
    <fill>
      <patternFill patternType="solid">
        <fgColor rgb="FFFFFF00"/>
      </patternFill>
    </fill>
    <fill>
      <patternFill patternType="solid">
        <fgColor theme="4" tint="0.79979857783745845"/>
        <bgColor indexed="65"/>
      </patternFill>
    </fill>
    <fill>
      <patternFill patternType="solid">
        <fgColor theme="3" tint="0.89996032593768116"/>
        <bgColor indexed="65"/>
      </patternFill>
    </fill>
    <fill>
      <patternFill patternType="solid">
        <fgColor theme="3" tint="0.89996032593768116"/>
        <bgColor indexed="65"/>
      </patternFill>
    </fill>
    <fill>
      <patternFill patternType="solid">
        <fgColor theme="3" tint="0.89996032593768116"/>
        <bgColor indexed="65"/>
      </patternFill>
    </fill>
    <fill>
      <patternFill patternType="solid">
        <fgColor theme="6" tint="0.79995117038483843"/>
        <bgColor indexed="65"/>
      </patternFill>
    </fill>
    <fill>
      <patternFill patternType="solid">
        <fgColor theme="6" tint="0.79995117038483843"/>
        <bgColor indexed="65"/>
      </patternFill>
    </fill>
    <fill>
      <patternFill patternType="solid">
        <fgColor rgb="FF1F4E78"/>
      </patternFill>
    </fill>
    <fill>
      <patternFill patternType="solid">
        <fgColor rgb="FFD9EAF7"/>
      </patternFill>
    </fill>
    <fill>
      <patternFill patternType="solid">
        <fgColor rgb="FFFFFF00"/>
        <bgColor indexed="64"/>
      </patternFill>
    </fill>
    <fill>
      <patternFill patternType="solid">
        <fgColor theme="3" tint="0.89999084444715716"/>
        <bgColor indexed="64"/>
      </patternFill>
    </fill>
  </fills>
  <borders count="12">
    <border>
      <left/>
      <right/>
      <top/>
      <bottom/>
      <diagonal/>
    </border>
    <border>
      <left/>
      <right/>
      <top/>
      <bottom style="medium">
        <color auto="1"/>
      </bottom>
      <diagonal/>
    </border>
    <border>
      <left/>
      <right/>
      <top style="medium">
        <color auto="1"/>
      </top>
      <bottom/>
      <diagonal/>
    </border>
    <border>
      <left/>
      <right/>
      <top/>
      <bottom style="thin">
        <color auto="1"/>
      </bottom>
      <diagonal/>
    </border>
    <border>
      <left/>
      <right/>
      <top style="thin">
        <color auto="1"/>
      </top>
      <bottom style="thin">
        <color auto="1"/>
      </bottom>
      <diagonal/>
    </border>
    <border>
      <left/>
      <right/>
      <top style="medium">
        <color auto="1"/>
      </top>
      <bottom style="medium">
        <color auto="1"/>
      </bottom>
      <diagonal/>
    </border>
    <border>
      <left/>
      <right/>
      <top style="thin">
        <color auto="1"/>
      </top>
      <bottom/>
      <diagonal/>
    </border>
    <border>
      <left style="medium">
        <color rgb="FFFF0000"/>
      </left>
      <right style="medium">
        <color rgb="FFFF0000"/>
      </right>
      <top style="medium">
        <color rgb="FFFF0000"/>
      </top>
      <bottom style="medium">
        <color rgb="FFFF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3">
    <xf numFmtId="0" fontId="0" fillId="0" borderId="0"/>
    <xf numFmtId="165" fontId="17" fillId="0" borderId="0"/>
    <xf numFmtId="0" fontId="1" fillId="0" borderId="0"/>
  </cellStyleXfs>
  <cellXfs count="215">
    <xf numFmtId="0" fontId="0" fillId="0" borderId="0" xfId="0"/>
    <xf numFmtId="0" fontId="2" fillId="0" borderId="0" xfId="0" applyFont="1" applyAlignment="1">
      <alignment horizontal="center" wrapText="1"/>
    </xf>
    <xf numFmtId="0" fontId="2"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top"/>
    </xf>
    <xf numFmtId="0" fontId="2" fillId="0" borderId="0" xfId="0" applyFont="1" applyAlignment="1">
      <alignment horizontal="left"/>
    </xf>
    <xf numFmtId="0" fontId="2" fillId="0" borderId="0" xfId="0" applyFont="1" applyAlignment="1">
      <alignment horizontal="center" vertical="center" wrapText="1"/>
    </xf>
    <xf numFmtId="4" fontId="2" fillId="0" borderId="0" xfId="0" applyNumberFormat="1" applyFont="1" applyAlignment="1">
      <alignment horizontal="center" vertical="center" wrapText="1"/>
    </xf>
    <xf numFmtId="164" fontId="2" fillId="0" borderId="0" xfId="0" applyNumberFormat="1" applyFont="1" applyAlignment="1">
      <alignment wrapText="1"/>
    </xf>
    <xf numFmtId="0" fontId="3" fillId="0" borderId="0" xfId="0" applyFont="1" applyAlignment="1">
      <alignment horizontal="center" vertical="top" wrapText="1"/>
    </xf>
    <xf numFmtId="0" fontId="4" fillId="0" borderId="0" xfId="0" applyFont="1" applyAlignment="1">
      <alignment horizontal="center" vertical="center" wrapText="1"/>
    </xf>
    <xf numFmtId="4" fontId="4" fillId="0" borderId="0" xfId="0" applyNumberFormat="1" applyFont="1" applyAlignment="1">
      <alignment horizontal="center" vertical="center" wrapText="1"/>
    </xf>
    <xf numFmtId="164" fontId="4" fillId="0" borderId="0" xfId="0" applyNumberFormat="1" applyFont="1" applyAlignment="1">
      <alignment horizontal="center" vertical="top" wrapText="1"/>
    </xf>
    <xf numFmtId="0" fontId="5" fillId="0" borderId="0" xfId="0" applyFont="1" applyAlignment="1">
      <alignment horizontal="center" vertical="top"/>
    </xf>
    <xf numFmtId="14" fontId="6" fillId="0" borderId="0" xfId="0" applyNumberFormat="1"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center" vertical="center"/>
    </xf>
    <xf numFmtId="4" fontId="2" fillId="0" borderId="0" xfId="0" applyNumberFormat="1" applyFont="1" applyAlignment="1">
      <alignment horizontal="center" vertical="center"/>
    </xf>
    <xf numFmtId="164" fontId="2" fillId="0" borderId="0" xfId="0" applyNumberFormat="1" applyFont="1" applyAlignment="1">
      <alignment horizontal="center" vertical="top"/>
    </xf>
    <xf numFmtId="164" fontId="4" fillId="0" borderId="0" xfId="0" applyNumberFormat="1"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vertical="top" wrapText="1"/>
    </xf>
    <xf numFmtId="0" fontId="2" fillId="0" borderId="1" xfId="0" applyFont="1" applyBorder="1" applyAlignment="1">
      <alignment horizontal="center" vertical="top"/>
    </xf>
    <xf numFmtId="165" fontId="4" fillId="0" borderId="1" xfId="1"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4" fontId="4" fillId="0" borderId="1" xfId="1" applyNumberFormat="1" applyFont="1" applyBorder="1" applyAlignment="1">
      <alignment horizontal="center" vertical="center" wrapText="1"/>
    </xf>
    <xf numFmtId="166" fontId="4" fillId="3" borderId="0" xfId="1" applyNumberFormat="1" applyFont="1" applyFill="1" applyAlignment="1">
      <alignment horizontal="center" vertical="center" wrapText="1"/>
    </xf>
    <xf numFmtId="164" fontId="2" fillId="3" borderId="0" xfId="0" applyNumberFormat="1" applyFont="1" applyFill="1" applyAlignment="1">
      <alignment horizontal="center" vertical="center" wrapText="1"/>
    </xf>
    <xf numFmtId="0" fontId="8" fillId="0" borderId="2" xfId="0" applyFont="1" applyBorder="1" applyAlignment="1">
      <alignment horizontal="center" vertical="top"/>
    </xf>
    <xf numFmtId="0" fontId="9" fillId="0" borderId="2" xfId="0" applyFont="1" applyBorder="1" applyAlignment="1">
      <alignment horizontal="left" vertical="top"/>
    </xf>
    <xf numFmtId="165" fontId="4" fillId="0" borderId="0" xfId="1" applyFont="1" applyAlignment="1">
      <alignment horizontal="center" vertical="center" wrapText="1"/>
    </xf>
    <xf numFmtId="165" fontId="4" fillId="0" borderId="2" xfId="1" applyFont="1" applyBorder="1" applyAlignment="1">
      <alignment horizontal="center" vertical="center" wrapText="1"/>
    </xf>
    <xf numFmtId="165" fontId="4" fillId="0" borderId="2" xfId="1" applyFont="1" applyBorder="1" applyAlignment="1">
      <alignment vertical="center" wrapText="1"/>
    </xf>
    <xf numFmtId="0" fontId="4" fillId="0" borderId="2" xfId="0" applyFont="1" applyBorder="1" applyAlignment="1">
      <alignment horizontal="center" vertical="center" wrapText="1"/>
    </xf>
    <xf numFmtId="4" fontId="4" fillId="0" borderId="2" xfId="1" applyNumberFormat="1" applyFont="1" applyBorder="1" applyAlignment="1">
      <alignment horizontal="center" vertical="center" wrapText="1"/>
    </xf>
    <xf numFmtId="166" fontId="4" fillId="0" borderId="0" xfId="1" applyNumberFormat="1"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top" wrapText="1"/>
    </xf>
    <xf numFmtId="4" fontId="2" fillId="0" borderId="1" xfId="0" applyNumberFormat="1" applyFont="1" applyBorder="1" applyAlignment="1">
      <alignment horizontal="center" vertical="center"/>
    </xf>
    <xf numFmtId="167" fontId="4" fillId="0" borderId="0" xfId="0" applyNumberFormat="1" applyFont="1" applyAlignment="1">
      <alignment vertical="center" wrapText="1"/>
    </xf>
    <xf numFmtId="164" fontId="4" fillId="0" borderId="0" xfId="0" applyNumberFormat="1" applyFont="1" applyAlignment="1">
      <alignment vertical="center" wrapText="1"/>
    </xf>
    <xf numFmtId="0" fontId="2" fillId="4" borderId="0" xfId="0" applyFont="1" applyFill="1" applyAlignment="1">
      <alignment horizontal="center" vertical="top"/>
    </xf>
    <xf numFmtId="167" fontId="4" fillId="5" borderId="0" xfId="0" applyNumberFormat="1" applyFont="1" applyFill="1" applyAlignment="1">
      <alignment vertical="center" wrapText="1"/>
    </xf>
    <xf numFmtId="0" fontId="6" fillId="0" borderId="0" xfId="0" applyFont="1" applyAlignment="1">
      <alignment horizontal="center" vertical="center" wrapText="1"/>
    </xf>
    <xf numFmtId="167" fontId="4" fillId="0" borderId="4" xfId="0" applyNumberFormat="1" applyFont="1" applyBorder="1" applyAlignment="1">
      <alignment vertical="center" wrapText="1"/>
    </xf>
    <xf numFmtId="0" fontId="6" fillId="0" borderId="0" xfId="0" applyFont="1" applyAlignment="1">
      <alignment horizontal="left" vertical="center" wrapText="1"/>
    </xf>
    <xf numFmtId="0" fontId="6"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5" xfId="0" applyFont="1" applyBorder="1" applyAlignment="1">
      <alignment vertical="top" wrapText="1"/>
    </xf>
    <xf numFmtId="0" fontId="2" fillId="0" borderId="5" xfId="0" applyFont="1" applyBorder="1" applyAlignment="1">
      <alignment horizontal="center" vertical="top"/>
    </xf>
    <xf numFmtId="0" fontId="2" fillId="0" borderId="5" xfId="0" applyFont="1" applyBorder="1" applyAlignment="1">
      <alignment horizontal="center" vertical="center"/>
    </xf>
    <xf numFmtId="0" fontId="4" fillId="0" borderId="5" xfId="0" applyFont="1" applyBorder="1" applyAlignment="1">
      <alignment horizontal="center" vertical="center" wrapText="1"/>
    </xf>
    <xf numFmtId="4" fontId="2" fillId="0" borderId="5" xfId="0" applyNumberFormat="1" applyFont="1" applyBorder="1" applyAlignment="1">
      <alignment horizontal="center" vertical="center"/>
    </xf>
    <xf numFmtId="0" fontId="4" fillId="0" borderId="0" xfId="0" applyFont="1" applyAlignment="1">
      <alignment horizontal="right" vertical="top" wrapText="1"/>
    </xf>
    <xf numFmtId="167" fontId="4" fillId="4" borderId="0" xfId="0" applyNumberFormat="1" applyFont="1" applyFill="1" applyAlignment="1">
      <alignment vertical="center" wrapText="1"/>
    </xf>
    <xf numFmtId="167" fontId="2" fillId="0" borderId="0" xfId="0" applyNumberFormat="1" applyFont="1" applyAlignment="1">
      <alignment wrapText="1"/>
    </xf>
    <xf numFmtId="0" fontId="6" fillId="0" borderId="5" xfId="0" applyFont="1" applyBorder="1" applyAlignment="1">
      <alignment horizontal="left" vertical="center" wrapText="1"/>
    </xf>
    <xf numFmtId="4" fontId="4" fillId="0" borderId="5" xfId="0" applyNumberFormat="1" applyFont="1" applyBorder="1" applyAlignment="1">
      <alignment horizontal="center" vertical="center" wrapText="1"/>
    </xf>
    <xf numFmtId="164" fontId="4" fillId="0" borderId="5" xfId="0" applyNumberFormat="1" applyFont="1" applyBorder="1" applyAlignment="1">
      <alignment horizontal="center" vertical="center" wrapText="1"/>
    </xf>
    <xf numFmtId="0" fontId="4" fillId="4" borderId="0" xfId="0" applyFont="1" applyFill="1" applyAlignment="1">
      <alignment horizontal="right" vertical="top" wrapText="1"/>
    </xf>
    <xf numFmtId="167" fontId="4" fillId="0" borderId="6" xfId="0" applyNumberFormat="1" applyFont="1" applyBorder="1" applyAlignment="1">
      <alignment vertical="center" wrapText="1"/>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4" fillId="0" borderId="5" xfId="0" applyFont="1" applyBorder="1" applyAlignment="1">
      <alignment horizontal="left" vertical="center" wrapText="1"/>
    </xf>
    <xf numFmtId="167" fontId="4" fillId="0" borderId="5" xfId="0" applyNumberFormat="1" applyFont="1" applyBorder="1" applyAlignment="1">
      <alignment vertical="center" wrapText="1"/>
    </xf>
    <xf numFmtId="167" fontId="2" fillId="0" borderId="0" xfId="0" applyNumberFormat="1" applyFont="1" applyAlignment="1">
      <alignment horizontal="center" vertical="center" wrapText="1"/>
    </xf>
    <xf numFmtId="167" fontId="4" fillId="0" borderId="0" xfId="0" applyNumberFormat="1" applyFont="1" applyAlignment="1">
      <alignment horizontal="right" vertical="center" wrapText="1"/>
    </xf>
    <xf numFmtId="167" fontId="4" fillId="0" borderId="3" xfId="0" applyNumberFormat="1" applyFont="1" applyBorder="1" applyAlignment="1">
      <alignment vertical="center" wrapText="1"/>
    </xf>
    <xf numFmtId="164" fontId="2" fillId="0" borderId="0" xfId="0" applyNumberFormat="1" applyFont="1" applyAlignment="1">
      <alignment horizontal="center" wrapText="1"/>
    </xf>
    <xf numFmtId="0" fontId="2" fillId="0" borderId="0" xfId="0" applyFont="1" applyAlignment="1">
      <alignment horizontal="left" wrapText="1"/>
    </xf>
    <xf numFmtId="164" fontId="2" fillId="0" borderId="0" xfId="0" applyNumberFormat="1" applyFont="1" applyAlignment="1">
      <alignment horizontal="left" wrapText="1"/>
    </xf>
    <xf numFmtId="0" fontId="2" fillId="3" borderId="0" xfId="0" applyFont="1" applyFill="1" applyAlignment="1">
      <alignment wrapText="1"/>
    </xf>
    <xf numFmtId="0" fontId="0" fillId="0" borderId="0" xfId="0" applyAlignment="1">
      <alignment horizontal="left" vertical="center" wrapText="1"/>
    </xf>
    <xf numFmtId="164" fontId="2" fillId="0" borderId="0" xfId="0" applyNumberFormat="1" applyFont="1" applyAlignment="1">
      <alignment horizontal="center" vertical="center" wrapText="1"/>
    </xf>
    <xf numFmtId="0" fontId="9" fillId="0" borderId="0" xfId="2" applyFont="1"/>
    <xf numFmtId="0" fontId="8" fillId="0" borderId="0" xfId="2" applyFont="1"/>
    <xf numFmtId="0" fontId="7" fillId="0" borderId="0" xfId="0" applyFont="1" applyAlignment="1">
      <alignment horizontal="center" wrapText="1"/>
    </xf>
    <xf numFmtId="0" fontId="7" fillId="0" borderId="0" xfId="0" applyFont="1" applyAlignment="1">
      <alignment horizontal="center" vertical="center" wrapText="1"/>
    </xf>
    <xf numFmtId="0" fontId="9" fillId="0" borderId="0" xfId="2" applyFont="1" applyAlignment="1">
      <alignment horizontal="center" vertical="center" wrapText="1"/>
    </xf>
    <xf numFmtId="0" fontId="2" fillId="0" borderId="0" xfId="0" applyFont="1"/>
    <xf numFmtId="38" fontId="8" fillId="0" borderId="0" xfId="2" applyNumberFormat="1" applyFont="1" applyAlignment="1">
      <alignment horizontal="center"/>
    </xf>
    <xf numFmtId="0" fontId="8" fillId="0" borderId="0" xfId="2" applyFont="1" applyAlignment="1">
      <alignment horizontal="center"/>
    </xf>
    <xf numFmtId="0" fontId="9" fillId="0" borderId="0" xfId="2" applyFont="1" applyAlignment="1">
      <alignment horizontal="center" vertical="center"/>
    </xf>
    <xf numFmtId="0" fontId="11" fillId="0" borderId="8" xfId="0" applyFont="1" applyBorder="1" applyAlignment="1">
      <alignment horizontal="center" vertical="center" wrapText="1"/>
    </xf>
    <xf numFmtId="167" fontId="4" fillId="11" borderId="0" xfId="0" applyNumberFormat="1" applyFont="1" applyFill="1" applyAlignment="1">
      <alignment vertical="center" wrapText="1"/>
    </xf>
    <xf numFmtId="167" fontId="4" fillId="12" borderId="0" xfId="0" applyNumberFormat="1" applyFont="1" applyFill="1" applyAlignment="1">
      <alignment vertical="center" wrapText="1"/>
    </xf>
    <xf numFmtId="0" fontId="13" fillId="0" borderId="0" xfId="0" applyFont="1" applyAlignment="1">
      <alignment horizontal="center" vertical="center" wrapText="1"/>
    </xf>
    <xf numFmtId="0" fontId="14" fillId="0" borderId="0" xfId="0" applyFont="1"/>
    <xf numFmtId="0" fontId="15" fillId="0" borderId="0" xfId="0" applyFont="1"/>
    <xf numFmtId="0" fontId="0" fillId="0" borderId="6" xfId="0" applyBorder="1"/>
    <xf numFmtId="0" fontId="2" fillId="0" borderId="3" xfId="0" applyFont="1" applyBorder="1"/>
    <xf numFmtId="165" fontId="4" fillId="3" borderId="0" xfId="1" applyFont="1" applyFill="1" applyAlignment="1">
      <alignment vertical="center" wrapText="1"/>
    </xf>
    <xf numFmtId="0" fontId="18" fillId="0" borderId="5" xfId="0" applyFont="1" applyBorder="1" applyAlignment="1">
      <alignment horizontal="center" vertical="center" wrapText="1"/>
    </xf>
    <xf numFmtId="0" fontId="18" fillId="0" borderId="5" xfId="0" applyFont="1" applyBorder="1" applyAlignment="1">
      <alignment horizontal="left" vertical="center" wrapText="1"/>
    </xf>
    <xf numFmtId="0" fontId="18" fillId="0" borderId="5" xfId="0" applyFont="1" applyBorder="1" applyAlignment="1">
      <alignment horizontal="right" vertical="top" wrapText="1"/>
    </xf>
    <xf numFmtId="0" fontId="18" fillId="4" borderId="5" xfId="0" applyFont="1" applyFill="1" applyBorder="1" applyAlignment="1">
      <alignment horizontal="right" vertical="top" wrapText="1"/>
    </xf>
    <xf numFmtId="4" fontId="18" fillId="0" borderId="5" xfId="0" applyNumberFormat="1" applyFont="1" applyBorder="1" applyAlignment="1">
      <alignment horizontal="center" vertical="center" wrapText="1"/>
    </xf>
    <xf numFmtId="164" fontId="18" fillId="0" borderId="5" xfId="0" applyNumberFormat="1" applyFont="1" applyBorder="1" applyAlignment="1">
      <alignment horizontal="center" vertical="center" wrapText="1"/>
    </xf>
    <xf numFmtId="0" fontId="16" fillId="0" borderId="5" xfId="0" applyFont="1" applyBorder="1" applyAlignment="1">
      <alignment horizontal="center" vertical="top"/>
    </xf>
    <xf numFmtId="4" fontId="16" fillId="0" borderId="5" xfId="0" applyNumberFormat="1" applyFont="1" applyBorder="1" applyAlignment="1">
      <alignment horizontal="center" vertical="center"/>
    </xf>
    <xf numFmtId="0" fontId="0" fillId="0" borderId="0" xfId="0" applyAlignment="1">
      <alignment wrapText="1"/>
    </xf>
    <xf numFmtId="0" fontId="19" fillId="0" borderId="0" xfId="0" applyFont="1" applyAlignment="1">
      <alignment vertical="top" wrapText="1"/>
    </xf>
    <xf numFmtId="0" fontId="24" fillId="0" borderId="0" xfId="0" applyFont="1"/>
    <xf numFmtId="0" fontId="25" fillId="0" borderId="0" xfId="0" applyFont="1"/>
    <xf numFmtId="14" fontId="6" fillId="2" borderId="0" xfId="0" applyNumberFormat="1" applyFont="1" applyFill="1" applyAlignment="1" applyProtection="1">
      <alignment horizontal="center" vertical="center"/>
      <protection locked="0"/>
    </xf>
    <xf numFmtId="0" fontId="6" fillId="2" borderId="0" xfId="0" applyFont="1" applyFill="1" applyAlignment="1" applyProtection="1">
      <alignment horizontal="center" wrapText="1"/>
      <protection locked="0"/>
    </xf>
    <xf numFmtId="0" fontId="2" fillId="2" borderId="0" xfId="0" applyFont="1" applyFill="1" applyAlignment="1" applyProtection="1">
      <alignment horizontal="center" vertical="top"/>
      <protection locked="0"/>
    </xf>
    <xf numFmtId="0" fontId="4" fillId="2" borderId="0" xfId="0" applyFont="1" applyFill="1" applyAlignment="1" applyProtection="1">
      <alignment horizontal="left" vertical="center" wrapText="1"/>
      <protection locked="0"/>
    </xf>
    <xf numFmtId="167" fontId="4" fillId="2" borderId="0" xfId="0" applyNumberFormat="1" applyFont="1" applyFill="1" applyAlignment="1" applyProtection="1">
      <alignment vertical="center" wrapText="1"/>
      <protection locked="0"/>
    </xf>
    <xf numFmtId="164" fontId="4" fillId="6" borderId="0" xfId="0" applyNumberFormat="1" applyFont="1" applyFill="1" applyAlignment="1" applyProtection="1">
      <alignment horizontal="center" vertical="center" wrapText="1"/>
      <protection locked="0"/>
    </xf>
    <xf numFmtId="4" fontId="4" fillId="6" borderId="0" xfId="0" applyNumberFormat="1" applyFont="1" applyFill="1" applyAlignment="1" applyProtection="1">
      <alignment horizontal="center" vertical="center" wrapText="1"/>
      <protection locked="0"/>
    </xf>
    <xf numFmtId="0" fontId="4" fillId="2" borderId="0" xfId="0" applyFont="1" applyFill="1" applyAlignment="1" applyProtection="1">
      <alignment vertical="center" wrapText="1"/>
      <protection locked="0"/>
    </xf>
    <xf numFmtId="0" fontId="2" fillId="2" borderId="0" xfId="0" applyFont="1" applyFill="1" applyAlignment="1" applyProtection="1">
      <alignment wrapText="1"/>
      <protection locked="0"/>
    </xf>
    <xf numFmtId="0" fontId="2" fillId="6" borderId="0" xfId="0" applyFont="1" applyFill="1" applyAlignment="1" applyProtection="1">
      <alignment wrapText="1"/>
      <protection locked="0"/>
    </xf>
    <xf numFmtId="167" fontId="4" fillId="8" borderId="0" xfId="0" applyNumberFormat="1" applyFont="1" applyFill="1" applyAlignment="1" applyProtection="1">
      <alignment vertical="center" wrapText="1"/>
      <protection locked="0"/>
    </xf>
    <xf numFmtId="167" fontId="4" fillId="9" borderId="0" xfId="0" applyNumberFormat="1" applyFont="1" applyFill="1" applyAlignment="1" applyProtection="1">
      <alignment vertical="center" wrapText="1"/>
      <protection locked="0"/>
    </xf>
    <xf numFmtId="167" fontId="4" fillId="10" borderId="0" xfId="0" applyNumberFormat="1" applyFont="1" applyFill="1" applyAlignment="1" applyProtection="1">
      <alignment vertical="center" wrapText="1"/>
      <protection locked="0"/>
    </xf>
    <xf numFmtId="0" fontId="2" fillId="8" borderId="0" xfId="0" applyFont="1" applyFill="1" applyAlignment="1" applyProtection="1">
      <alignment horizontal="center" vertical="top"/>
      <protection locked="0"/>
    </xf>
    <xf numFmtId="0" fontId="2" fillId="10" borderId="0" xfId="0" applyFont="1" applyFill="1" applyAlignment="1" applyProtection="1">
      <alignment horizontal="center" vertical="top"/>
      <protection locked="0"/>
    </xf>
    <xf numFmtId="0" fontId="0" fillId="0" borderId="0" xfId="0"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165" fontId="4" fillId="3" borderId="1" xfId="1" applyFont="1" applyFill="1" applyBorder="1" applyAlignment="1">
      <alignment horizontal="center" vertical="center" wrapText="1"/>
    </xf>
    <xf numFmtId="0" fontId="28" fillId="2" borderId="0" xfId="0" applyFont="1" applyFill="1" applyAlignment="1" applyProtection="1">
      <alignment horizontal="left" vertical="center" wrapText="1"/>
      <protection locked="0"/>
    </xf>
    <xf numFmtId="0" fontId="9" fillId="2" borderId="0" xfId="2" applyFont="1" applyFill="1" applyAlignment="1" applyProtection="1">
      <alignment horizontal="center" vertical="center"/>
      <protection locked="0"/>
    </xf>
    <xf numFmtId="168" fontId="9" fillId="0" borderId="0" xfId="2" applyNumberFormat="1" applyFont="1"/>
    <xf numFmtId="168" fontId="9" fillId="0" borderId="0" xfId="2" applyNumberFormat="1" applyFont="1" applyAlignment="1">
      <alignment horizontal="center" vertical="center" wrapText="1"/>
    </xf>
    <xf numFmtId="168" fontId="12" fillId="0" borderId="8" xfId="2" applyNumberFormat="1" applyFont="1" applyBorder="1" applyAlignment="1">
      <alignment horizontal="center" vertical="center" wrapText="1"/>
    </xf>
    <xf numFmtId="168" fontId="9" fillId="0" borderId="0" xfId="2" applyNumberFormat="1" applyFont="1" applyAlignment="1">
      <alignment horizontal="left" vertical="center"/>
    </xf>
    <xf numFmtId="170" fontId="9" fillId="0" borderId="0" xfId="2" applyNumberFormat="1" applyFont="1" applyAlignment="1">
      <alignment horizontal="center" vertical="center"/>
    </xf>
    <xf numFmtId="169" fontId="9" fillId="16" borderId="0" xfId="2" applyNumberFormat="1" applyFont="1" applyFill="1" applyProtection="1">
      <protection locked="0"/>
    </xf>
    <xf numFmtId="169" fontId="8" fillId="16" borderId="0" xfId="2" applyNumberFormat="1" applyFont="1" applyFill="1" applyAlignment="1" applyProtection="1">
      <alignment horizontal="center"/>
      <protection locked="0"/>
    </xf>
    <xf numFmtId="168" fontId="8" fillId="16" borderId="0" xfId="2" applyNumberFormat="1" applyFont="1" applyFill="1" applyAlignment="1" applyProtection="1">
      <alignment horizontal="center"/>
      <protection locked="0"/>
    </xf>
    <xf numFmtId="169" fontId="8" fillId="0" borderId="0" xfId="2" applyNumberFormat="1" applyFont="1" applyAlignment="1">
      <alignment horizontal="center"/>
    </xf>
    <xf numFmtId="168" fontId="9" fillId="16" borderId="0" xfId="2" applyNumberFormat="1" applyFont="1" applyFill="1" applyAlignment="1" applyProtection="1">
      <alignment horizontal="left"/>
      <protection locked="0"/>
    </xf>
    <xf numFmtId="168" fontId="9" fillId="0" borderId="0" xfId="2" applyNumberFormat="1" applyFont="1" applyAlignment="1">
      <alignment horizontal="left"/>
    </xf>
    <xf numFmtId="168" fontId="8" fillId="0" borderId="0" xfId="2" applyNumberFormat="1" applyFont="1" applyAlignment="1">
      <alignment horizontal="center"/>
    </xf>
    <xf numFmtId="171" fontId="8" fillId="0" borderId="0" xfId="2" applyNumberFormat="1" applyFont="1" applyAlignment="1">
      <alignment horizontal="center"/>
    </xf>
    <xf numFmtId="168" fontId="14" fillId="0" borderId="0" xfId="2" applyNumberFormat="1" applyFont="1" applyAlignment="1">
      <alignment horizontal="center"/>
    </xf>
    <xf numFmtId="168" fontId="14" fillId="0" borderId="0" xfId="2" applyNumberFormat="1" applyFont="1"/>
    <xf numFmtId="0" fontId="29" fillId="0" borderId="0" xfId="0" applyFont="1"/>
    <xf numFmtId="168" fontId="30" fillId="0" borderId="0" xfId="2" applyNumberFormat="1" applyFont="1" applyAlignment="1">
      <alignment horizontal="center"/>
    </xf>
    <xf numFmtId="168" fontId="31" fillId="0" borderId="0" xfId="2" applyNumberFormat="1" applyFont="1"/>
    <xf numFmtId="169" fontId="9" fillId="0" borderId="0" xfId="2" applyNumberFormat="1" applyFont="1"/>
    <xf numFmtId="169" fontId="8" fillId="7" borderId="0" xfId="2" applyNumberFormat="1" applyFont="1" applyFill="1" applyAlignment="1">
      <alignment horizontal="center"/>
    </xf>
    <xf numFmtId="169" fontId="8" fillId="6" borderId="0" xfId="2" applyNumberFormat="1" applyFont="1" applyFill="1" applyAlignment="1">
      <alignment horizontal="center"/>
    </xf>
    <xf numFmtId="169" fontId="2" fillId="0" borderId="0" xfId="0" applyNumberFormat="1" applyFont="1"/>
    <xf numFmtId="168" fontId="9" fillId="0" borderId="0" xfId="2" applyNumberFormat="1" applyFont="1" applyAlignment="1">
      <alignment horizontal="center" vertical="center"/>
    </xf>
    <xf numFmtId="168" fontId="8" fillId="0" borderId="0" xfId="0" applyNumberFormat="1" applyFont="1" applyAlignment="1">
      <alignment horizontal="center" vertical="center"/>
    </xf>
    <xf numFmtId="168" fontId="2" fillId="0" borderId="0" xfId="0" applyNumberFormat="1" applyFont="1"/>
    <xf numFmtId="168" fontId="14" fillId="0" borderId="0" xfId="0" applyNumberFormat="1" applyFont="1"/>
    <xf numFmtId="168" fontId="32" fillId="0" borderId="0" xfId="0" applyNumberFormat="1" applyFont="1"/>
    <xf numFmtId="168" fontId="9" fillId="0" borderId="3" xfId="2" applyNumberFormat="1" applyFont="1" applyBorder="1"/>
    <xf numFmtId="168" fontId="8" fillId="0" borderId="3" xfId="2" applyNumberFormat="1" applyFont="1" applyBorder="1" applyAlignment="1">
      <alignment horizontal="center"/>
    </xf>
    <xf numFmtId="172" fontId="14" fillId="0" borderId="0" xfId="0" applyNumberFormat="1" applyFont="1" applyAlignment="1">
      <alignment vertical="center" wrapText="1"/>
    </xf>
    <xf numFmtId="172" fontId="4" fillId="0" borderId="6" xfId="0" applyNumberFormat="1" applyFont="1" applyBorder="1" applyAlignment="1">
      <alignment vertical="center" wrapText="1"/>
    </xf>
    <xf numFmtId="170" fontId="26" fillId="0" borderId="0" xfId="0" applyNumberFormat="1" applyFont="1" applyAlignment="1">
      <alignment horizontal="center" vertical="center" wrapText="1"/>
    </xf>
    <xf numFmtId="173" fontId="25" fillId="0" borderId="0" xfId="0" applyNumberFormat="1" applyFont="1"/>
    <xf numFmtId="172" fontId="4" fillId="0" borderId="0" xfId="0" applyNumberFormat="1" applyFont="1" applyAlignment="1">
      <alignment vertical="center" wrapText="1"/>
    </xf>
    <xf numFmtId="168" fontId="25" fillId="16" borderId="0" xfId="0" applyNumberFormat="1" applyFont="1" applyFill="1" applyAlignment="1" applyProtection="1">
      <alignment horizontal="center"/>
      <protection locked="0"/>
    </xf>
    <xf numFmtId="173" fontId="25" fillId="15" borderId="0" xfId="0" applyNumberFormat="1" applyFont="1" applyFill="1"/>
    <xf numFmtId="167" fontId="4" fillId="16" borderId="0" xfId="0" applyNumberFormat="1" applyFont="1" applyFill="1" applyAlignment="1" applyProtection="1">
      <alignment vertical="center" wrapText="1"/>
      <protection locked="0"/>
    </xf>
    <xf numFmtId="167" fontId="4" fillId="4" borderId="0" xfId="0" applyNumberFormat="1" applyFont="1" applyFill="1" applyAlignment="1" applyProtection="1">
      <alignment vertical="center" wrapText="1"/>
      <protection locked="0"/>
    </xf>
    <xf numFmtId="1" fontId="4" fillId="0" borderId="0" xfId="0" applyNumberFormat="1" applyFont="1" applyAlignment="1">
      <alignment vertical="top" wrapText="1"/>
    </xf>
    <xf numFmtId="1" fontId="4" fillId="0" borderId="1" xfId="0" applyNumberFormat="1" applyFont="1" applyBorder="1" applyAlignment="1">
      <alignment horizontal="center" vertical="center" wrapText="1"/>
    </xf>
    <xf numFmtId="1" fontId="4" fillId="0" borderId="0" xfId="0" applyNumberFormat="1" applyFont="1" applyAlignment="1">
      <alignment horizontal="center" wrapText="1"/>
    </xf>
    <xf numFmtId="1" fontId="4" fillId="0" borderId="1" xfId="0" applyNumberFormat="1" applyFont="1" applyBorder="1" applyAlignment="1">
      <alignment vertical="top" wrapText="1"/>
    </xf>
    <xf numFmtId="1" fontId="4" fillId="0" borderId="0" xfId="0" applyNumberFormat="1" applyFont="1" applyAlignment="1">
      <alignment vertical="center" wrapText="1"/>
    </xf>
    <xf numFmtId="1" fontId="8" fillId="16" borderId="0" xfId="0" applyNumberFormat="1" applyFont="1" applyFill="1" applyAlignment="1">
      <alignment horizontal="center" vertical="center"/>
    </xf>
    <xf numFmtId="4" fontId="2" fillId="0" borderId="0" xfId="0" applyNumberFormat="1" applyFont="1" applyAlignment="1">
      <alignment horizontal="left" vertical="center" wrapText="1"/>
    </xf>
    <xf numFmtId="0" fontId="0" fillId="0" borderId="0" xfId="0" applyAlignment="1">
      <alignment horizontal="left" vertical="center"/>
    </xf>
    <xf numFmtId="164" fontId="2" fillId="0" borderId="0" xfId="0" applyNumberFormat="1" applyFont="1" applyAlignment="1">
      <alignment horizontal="left" vertical="center" wrapText="1"/>
    </xf>
    <xf numFmtId="9" fontId="25" fillId="16" borderId="0" xfId="0" applyNumberFormat="1" applyFont="1" applyFill="1" applyAlignment="1" applyProtection="1">
      <alignment horizontal="center"/>
      <protection locked="0"/>
    </xf>
    <xf numFmtId="167" fontId="4" fillId="0" borderId="0" xfId="0" applyNumberFormat="1" applyFont="1" applyAlignment="1" applyProtection="1">
      <alignment vertical="center" wrapText="1"/>
      <protection locked="0"/>
    </xf>
    <xf numFmtId="0" fontId="10" fillId="2" borderId="8" xfId="0" applyFont="1" applyFill="1" applyBorder="1" applyAlignment="1">
      <alignment horizontal="center" vertical="center"/>
    </xf>
    <xf numFmtId="169" fontId="10" fillId="2" borderId="8" xfId="0" applyNumberFormat="1" applyFont="1" applyFill="1" applyBorder="1" applyAlignment="1">
      <alignment horizontal="center" vertical="center"/>
    </xf>
    <xf numFmtId="1" fontId="8" fillId="0" borderId="0" xfId="0" applyNumberFormat="1" applyFont="1" applyAlignment="1">
      <alignment horizontal="center" vertical="center"/>
    </xf>
    <xf numFmtId="0" fontId="9" fillId="2" borderId="0" xfId="2" applyFont="1" applyFill="1" applyAlignment="1">
      <alignment horizontal="center" vertical="center"/>
    </xf>
    <xf numFmtId="173" fontId="25" fillId="16" borderId="0" xfId="0" applyNumberFormat="1" applyFont="1" applyFill="1"/>
    <xf numFmtId="0" fontId="25" fillId="0" borderId="0" xfId="0" applyFont="1" applyAlignment="1">
      <alignment horizontal="right" vertical="center"/>
    </xf>
    <xf numFmtId="0" fontId="25" fillId="0" borderId="0" xfId="0" applyFont="1"/>
    <xf numFmtId="0" fontId="2" fillId="0" borderId="0" xfId="0" applyFont="1" applyAlignment="1">
      <alignment horizontal="left"/>
    </xf>
    <xf numFmtId="167" fontId="4" fillId="0" borderId="0" xfId="0" applyNumberFormat="1" applyFont="1" applyAlignment="1">
      <alignment vertical="center" wrapText="1"/>
    </xf>
    <xf numFmtId="171" fontId="9" fillId="2" borderId="8" xfId="2" applyNumberFormat="1" applyFont="1" applyFill="1" applyBorder="1" applyAlignment="1" applyProtection="1">
      <alignment horizontal="center" vertical="center"/>
      <protection locked="0"/>
    </xf>
    <xf numFmtId="0" fontId="0" fillId="0" borderId="9" xfId="0" applyBorder="1" applyProtection="1">
      <protection locked="0"/>
    </xf>
    <xf numFmtId="168" fontId="12" fillId="0" borderId="6" xfId="2" applyNumberFormat="1" applyFont="1" applyBorder="1" applyAlignment="1">
      <alignment horizontal="center" vertical="center"/>
    </xf>
    <xf numFmtId="0" fontId="0" fillId="0" borderId="6" xfId="0" applyBorder="1"/>
    <xf numFmtId="0" fontId="19" fillId="0" borderId="0" xfId="0" applyFont="1" applyAlignment="1">
      <alignment vertical="top" wrapText="1"/>
    </xf>
    <xf numFmtId="0" fontId="0" fillId="0" borderId="0" xfId="0"/>
    <xf numFmtId="0" fontId="21" fillId="14" borderId="0" xfId="0" applyFont="1" applyFill="1" applyAlignment="1">
      <alignment vertical="center"/>
    </xf>
    <xf numFmtId="0" fontId="23" fillId="0" borderId="0" xfId="0" applyFont="1" applyAlignment="1">
      <alignment vertical="top" wrapText="1"/>
    </xf>
    <xf numFmtId="0" fontId="24" fillId="0" borderId="0" xfId="0" applyFont="1"/>
    <xf numFmtId="0" fontId="22" fillId="0" borderId="0" xfId="0" applyFont="1" applyAlignment="1">
      <alignment vertical="top" wrapText="1"/>
    </xf>
    <xf numFmtId="0" fontId="21" fillId="14" borderId="0" xfId="0" applyFont="1" applyFill="1" applyAlignment="1">
      <alignment vertical="center" wrapText="1"/>
    </xf>
    <xf numFmtId="0" fontId="0" fillId="0" borderId="0" xfId="0" applyAlignment="1">
      <alignment wrapText="1"/>
    </xf>
    <xf numFmtId="0" fontId="21" fillId="14" borderId="0" xfId="0" applyFont="1" applyFill="1" applyAlignment="1">
      <alignment horizontal="center"/>
    </xf>
    <xf numFmtId="0" fontId="20" fillId="13" borderId="0" xfId="0" applyFont="1" applyFill="1" applyAlignment="1">
      <alignment horizontal="center" vertical="center"/>
    </xf>
    <xf numFmtId="0" fontId="2" fillId="0" borderId="0" xfId="0" applyFont="1" applyAlignment="1">
      <alignment horizontal="left" vertical="center" wrapText="1"/>
    </xf>
    <xf numFmtId="0" fontId="2" fillId="0" borderId="0" xfId="0" applyFont="1" applyAlignment="1">
      <alignment wrapText="1"/>
    </xf>
    <xf numFmtId="0" fontId="4" fillId="0" borderId="0" xfId="0" applyFont="1" applyAlignment="1">
      <alignment horizontal="center" vertical="center" wrapText="1"/>
    </xf>
    <xf numFmtId="0" fontId="2" fillId="0" borderId="0" xfId="0" applyFont="1" applyAlignment="1">
      <alignment horizontal="center" vertical="center" wrapText="1"/>
    </xf>
    <xf numFmtId="4" fontId="2" fillId="0" borderId="0" xfId="0" applyNumberFormat="1" applyFont="1" applyAlignment="1">
      <alignment horizontal="center" vertical="center" wrapText="1"/>
    </xf>
    <xf numFmtId="164" fontId="2" fillId="0" borderId="0" xfId="0" applyNumberFormat="1" applyFont="1" applyAlignment="1">
      <alignment wrapText="1"/>
    </xf>
    <xf numFmtId="0" fontId="4" fillId="0" borderId="0" xfId="0" applyFont="1" applyAlignment="1">
      <alignment horizontal="center" vertical="top"/>
    </xf>
    <xf numFmtId="0" fontId="27" fillId="2" borderId="0" xfId="0" applyFont="1" applyFill="1" applyAlignment="1" applyProtection="1">
      <alignment horizontal="center" vertical="center" wrapText="1"/>
      <protection locked="0"/>
    </xf>
    <xf numFmtId="0" fontId="0" fillId="0" borderId="0" xfId="0" applyProtection="1">
      <protection locked="0"/>
    </xf>
    <xf numFmtId="0" fontId="4" fillId="0" borderId="0" xfId="0" applyFont="1" applyAlignment="1">
      <alignment horizontal="center" wrapText="1"/>
    </xf>
    <xf numFmtId="0" fontId="2" fillId="0" borderId="7" xfId="0" applyFont="1" applyBorder="1" applyAlignment="1">
      <alignment horizontal="center" vertical="center" wrapText="1"/>
    </xf>
    <xf numFmtId="0" fontId="0" fillId="0" borderId="10" xfId="0" applyBorder="1"/>
    <xf numFmtId="0" fontId="0" fillId="0" borderId="11" xfId="0" applyBorder="1"/>
    <xf numFmtId="14" fontId="6" fillId="2" borderId="0" xfId="0" applyNumberFormat="1" applyFont="1" applyFill="1" applyAlignment="1" applyProtection="1">
      <alignment horizontal="center" vertical="center"/>
      <protection locked="0"/>
    </xf>
  </cellXfs>
  <cellStyles count="3">
    <cellStyle name="Currency" xfId="1" xr:uid="{00000000-0005-0000-0000-000001000000}"/>
    <cellStyle name="Normal" xfId="0" builtinId="0"/>
    <cellStyle name="Normal 2" xfId="2" xr:uid="{00000000-0005-0000-0000-000002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8E8E8"/>
      <rgbColor rgb="FFDCEAF7"/>
      <rgbColor rgb="FF660066"/>
      <rgbColor rgb="FFFF8080"/>
      <rgbColor rgb="FF0066CC"/>
      <rgbColor rgb="FFC1E5F5"/>
      <rgbColor rgb="FF000080"/>
      <rgbColor rgb="FFFF00FF"/>
      <rgbColor rgb="FFFFFF00"/>
      <rgbColor rgb="FF00FFFF"/>
      <rgbColor rgb="FF800080"/>
      <rgbColor rgb="FF800000"/>
      <rgbColor rgb="FF008080"/>
      <rgbColor rgb="FF0000FF"/>
      <rgbColor rgb="FF00CCFF"/>
      <rgbColor rgb="FFCCFFFF"/>
      <rgbColor rgb="FFC2F1C8"/>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62"/>
  <sheetViews>
    <sheetView workbookViewId="0">
      <selection activeCell="J21" sqref="J21"/>
    </sheetView>
  </sheetViews>
  <sheetFormatPr defaultRowHeight="14.4" x14ac:dyDescent="0.3"/>
  <cols>
    <col min="2" max="2" width="18" customWidth="1"/>
    <col min="3" max="5" width="13" customWidth="1"/>
    <col min="6" max="6" width="31.109375" customWidth="1"/>
    <col min="7" max="7" width="0.109375" customWidth="1"/>
    <col min="8" max="9" width="13" hidden="1" customWidth="1"/>
  </cols>
  <sheetData>
    <row r="1" spans="2:9" ht="23.4" customHeight="1" x14ac:dyDescent="0.3">
      <c r="B1" s="200" t="s">
        <v>20</v>
      </c>
      <c r="C1" s="192"/>
      <c r="D1" s="192"/>
      <c r="E1" s="192"/>
      <c r="F1" s="192"/>
      <c r="G1" s="192"/>
      <c r="H1" s="192"/>
      <c r="I1" s="192"/>
    </row>
    <row r="2" spans="2:9" ht="15.6" customHeight="1" x14ac:dyDescent="0.3">
      <c r="B2" s="199" t="s">
        <v>21</v>
      </c>
      <c r="C2" s="192"/>
      <c r="D2" s="192"/>
      <c r="E2" s="192"/>
      <c r="F2" s="192"/>
      <c r="G2" s="192"/>
      <c r="H2" s="192"/>
      <c r="I2" s="192"/>
    </row>
    <row r="3" spans="2:9" x14ac:dyDescent="0.3">
      <c r="B3" s="191"/>
      <c r="C3" s="192"/>
      <c r="D3" s="192"/>
      <c r="E3" s="192"/>
      <c r="F3" s="192"/>
      <c r="G3" s="192"/>
      <c r="H3" s="192"/>
      <c r="I3" s="192"/>
    </row>
    <row r="4" spans="2:9" ht="15.6" customHeight="1" x14ac:dyDescent="0.3">
      <c r="B4" s="193" t="s">
        <v>22</v>
      </c>
      <c r="C4" s="192"/>
      <c r="D4" s="192"/>
      <c r="E4" s="192"/>
      <c r="F4" s="192"/>
      <c r="G4" s="192"/>
      <c r="H4" s="192"/>
      <c r="I4" s="192"/>
    </row>
    <row r="5" spans="2:9" ht="57" customHeight="1" x14ac:dyDescent="0.3">
      <c r="B5" s="191" t="s">
        <v>23</v>
      </c>
      <c r="C5" s="192"/>
      <c r="D5" s="192"/>
      <c r="E5" s="192"/>
      <c r="F5" s="192"/>
      <c r="G5" s="192"/>
      <c r="H5" s="192"/>
      <c r="I5" s="192"/>
    </row>
    <row r="6" spans="2:9" x14ac:dyDescent="0.3">
      <c r="B6" s="191"/>
      <c r="C6" s="192"/>
      <c r="D6" s="192"/>
      <c r="E6" s="192"/>
      <c r="F6" s="192"/>
      <c r="G6" s="192"/>
      <c r="H6" s="192"/>
      <c r="I6" s="192"/>
    </row>
    <row r="7" spans="2:9" ht="15.6" customHeight="1" x14ac:dyDescent="0.3">
      <c r="B7" s="193" t="s">
        <v>24</v>
      </c>
      <c r="C7" s="192"/>
      <c r="D7" s="192"/>
      <c r="E7" s="192"/>
      <c r="F7" s="192"/>
      <c r="G7" s="192"/>
      <c r="H7" s="192"/>
      <c r="I7" s="192"/>
    </row>
    <row r="8" spans="2:9" x14ac:dyDescent="0.3">
      <c r="B8" s="196" t="s">
        <v>25</v>
      </c>
      <c r="C8" s="192"/>
      <c r="D8" s="192"/>
      <c r="E8" s="192"/>
      <c r="F8" s="192"/>
      <c r="G8" s="192"/>
      <c r="H8" s="192"/>
      <c r="I8" s="192"/>
    </row>
    <row r="9" spans="2:9" s="104" customFormat="1" ht="43.2" customHeight="1" x14ac:dyDescent="0.3">
      <c r="B9" s="191" t="s">
        <v>26</v>
      </c>
      <c r="C9" s="198"/>
      <c r="D9" s="198"/>
      <c r="E9" s="198"/>
      <c r="F9" s="198"/>
      <c r="G9" s="198"/>
      <c r="H9" s="198"/>
      <c r="I9" s="198"/>
    </row>
    <row r="10" spans="2:9" x14ac:dyDescent="0.3">
      <c r="B10" s="196" t="s">
        <v>27</v>
      </c>
      <c r="C10" s="192"/>
      <c r="D10" s="192"/>
      <c r="E10" s="192"/>
      <c r="F10" s="192"/>
      <c r="G10" s="192"/>
      <c r="H10" s="192"/>
      <c r="I10" s="192"/>
    </row>
    <row r="11" spans="2:9" ht="43.8" customHeight="1" x14ac:dyDescent="0.3">
      <c r="B11" s="191" t="s">
        <v>28</v>
      </c>
      <c r="C11" s="192"/>
      <c r="D11" s="192"/>
      <c r="E11" s="192"/>
      <c r="F11" s="192"/>
      <c r="G11" s="192"/>
      <c r="H11" s="192"/>
      <c r="I11" s="192"/>
    </row>
    <row r="12" spans="2:9" x14ac:dyDescent="0.3">
      <c r="B12" s="196" t="s">
        <v>29</v>
      </c>
      <c r="C12" s="192"/>
      <c r="D12" s="192"/>
      <c r="E12" s="192"/>
      <c r="F12" s="192"/>
      <c r="G12" s="192"/>
      <c r="H12" s="192"/>
      <c r="I12" s="192"/>
    </row>
    <row r="13" spans="2:9" ht="44.4" customHeight="1" x14ac:dyDescent="0.3">
      <c r="B13" s="191" t="s">
        <v>30</v>
      </c>
      <c r="C13" s="192"/>
      <c r="D13" s="192"/>
      <c r="E13" s="192"/>
      <c r="F13" s="192"/>
      <c r="G13" s="192"/>
      <c r="H13" s="192"/>
      <c r="I13" s="192"/>
    </row>
    <row r="14" spans="2:9" x14ac:dyDescent="0.3">
      <c r="B14" s="196" t="s">
        <v>31</v>
      </c>
      <c r="C14" s="192"/>
      <c r="D14" s="192"/>
      <c r="E14" s="192"/>
      <c r="F14" s="192"/>
      <c r="G14" s="192"/>
      <c r="H14" s="192"/>
      <c r="I14" s="192"/>
    </row>
    <row r="15" spans="2:9" ht="42" customHeight="1" x14ac:dyDescent="0.3">
      <c r="B15" s="191" t="s">
        <v>32</v>
      </c>
      <c r="C15" s="192"/>
      <c r="D15" s="192"/>
      <c r="E15" s="192"/>
      <c r="F15" s="192"/>
      <c r="G15" s="192"/>
      <c r="H15" s="192"/>
      <c r="I15" s="192"/>
    </row>
    <row r="16" spans="2:9" x14ac:dyDescent="0.3">
      <c r="B16" s="196" t="s">
        <v>33</v>
      </c>
      <c r="C16" s="192"/>
      <c r="D16" s="192"/>
      <c r="E16" s="192"/>
      <c r="F16" s="192"/>
      <c r="G16" s="192"/>
      <c r="H16" s="192"/>
      <c r="I16" s="192"/>
    </row>
    <row r="17" spans="2:9" ht="43.2" customHeight="1" x14ac:dyDescent="0.3">
      <c r="B17" s="191" t="s">
        <v>34</v>
      </c>
      <c r="C17" s="192"/>
      <c r="D17" s="192"/>
      <c r="E17" s="192"/>
      <c r="F17" s="192"/>
      <c r="G17" s="192"/>
      <c r="H17" s="192"/>
      <c r="I17" s="192"/>
    </row>
    <row r="18" spans="2:9" x14ac:dyDescent="0.3">
      <c r="B18" s="196" t="s">
        <v>35</v>
      </c>
      <c r="C18" s="192"/>
      <c r="D18" s="192"/>
      <c r="E18" s="192"/>
      <c r="F18" s="192"/>
      <c r="G18" s="192"/>
      <c r="H18" s="192"/>
      <c r="I18" s="192"/>
    </row>
    <row r="19" spans="2:9" ht="43.2" customHeight="1" x14ac:dyDescent="0.3">
      <c r="B19" s="191" t="s">
        <v>36</v>
      </c>
      <c r="C19" s="192"/>
      <c r="D19" s="192"/>
      <c r="E19" s="192"/>
      <c r="F19" s="192"/>
      <c r="G19" s="192"/>
      <c r="H19" s="192"/>
      <c r="I19" s="192"/>
    </row>
    <row r="20" spans="2:9" x14ac:dyDescent="0.3">
      <c r="B20" s="196" t="s">
        <v>37</v>
      </c>
      <c r="C20" s="192"/>
      <c r="D20" s="192"/>
      <c r="E20" s="192"/>
      <c r="F20" s="192"/>
      <c r="G20" s="192"/>
      <c r="H20" s="192"/>
      <c r="I20" s="192"/>
    </row>
    <row r="21" spans="2:9" ht="30.6" customHeight="1" x14ac:dyDescent="0.3">
      <c r="B21" s="191" t="s">
        <v>38</v>
      </c>
      <c r="C21" s="192"/>
      <c r="D21" s="192"/>
      <c r="E21" s="192"/>
      <c r="F21" s="192"/>
      <c r="G21" s="192"/>
      <c r="H21" s="192"/>
      <c r="I21" s="192"/>
    </row>
    <row r="22" spans="2:9" ht="12.6" customHeight="1" x14ac:dyDescent="0.3">
      <c r="B22" s="105"/>
      <c r="C22" s="105"/>
      <c r="D22" s="105"/>
      <c r="E22" s="105"/>
      <c r="F22" s="105"/>
      <c r="G22" s="105"/>
      <c r="H22" s="105"/>
      <c r="I22" s="105"/>
    </row>
    <row r="23" spans="2:9" ht="15.6" customHeight="1" x14ac:dyDescent="0.3">
      <c r="B23" s="193" t="s">
        <v>39</v>
      </c>
      <c r="C23" s="192"/>
      <c r="D23" s="192"/>
      <c r="E23" s="192"/>
      <c r="F23" s="192"/>
      <c r="G23" s="192"/>
      <c r="H23" s="192"/>
      <c r="I23" s="192"/>
    </row>
    <row r="24" spans="2:9" x14ac:dyDescent="0.3">
      <c r="B24" s="196" t="s">
        <v>40</v>
      </c>
      <c r="C24" s="192"/>
      <c r="D24" s="192"/>
      <c r="E24" s="192"/>
      <c r="F24" s="192"/>
      <c r="G24" s="192"/>
      <c r="H24" s="192"/>
      <c r="I24" s="192"/>
    </row>
    <row r="25" spans="2:9" ht="30" customHeight="1" x14ac:dyDescent="0.3">
      <c r="B25" s="191" t="s">
        <v>41</v>
      </c>
      <c r="C25" s="192"/>
      <c r="D25" s="192"/>
      <c r="E25" s="192"/>
      <c r="F25" s="192"/>
      <c r="G25" s="192"/>
      <c r="H25" s="192"/>
      <c r="I25" s="192"/>
    </row>
    <row r="26" spans="2:9" x14ac:dyDescent="0.3">
      <c r="B26" s="196" t="s">
        <v>42</v>
      </c>
      <c r="C26" s="192"/>
      <c r="D26" s="192"/>
      <c r="E26" s="192"/>
      <c r="F26" s="192"/>
      <c r="G26" s="192"/>
      <c r="H26" s="192"/>
      <c r="I26" s="192"/>
    </row>
    <row r="27" spans="2:9" ht="30" customHeight="1" x14ac:dyDescent="0.3">
      <c r="B27" s="191" t="s">
        <v>43</v>
      </c>
      <c r="C27" s="192"/>
      <c r="D27" s="192"/>
      <c r="E27" s="192"/>
      <c r="F27" s="192"/>
      <c r="G27" s="192"/>
      <c r="H27" s="192"/>
      <c r="I27" s="192"/>
    </row>
    <row r="28" spans="2:9" x14ac:dyDescent="0.3">
      <c r="B28" s="196" t="s">
        <v>44</v>
      </c>
      <c r="C28" s="192"/>
      <c r="D28" s="192"/>
      <c r="E28" s="192"/>
      <c r="F28" s="192"/>
      <c r="G28" s="192"/>
      <c r="H28" s="192"/>
      <c r="I28" s="192"/>
    </row>
    <row r="29" spans="2:9" ht="29.4" customHeight="1" x14ac:dyDescent="0.3">
      <c r="B29" s="191" t="s">
        <v>45</v>
      </c>
      <c r="C29" s="192"/>
      <c r="D29" s="192"/>
      <c r="E29" s="192"/>
      <c r="F29" s="192"/>
      <c r="G29" s="192"/>
      <c r="H29" s="192"/>
      <c r="I29" s="192"/>
    </row>
    <row r="30" spans="2:9" x14ac:dyDescent="0.3">
      <c r="B30" s="196" t="s">
        <v>46</v>
      </c>
      <c r="C30" s="192"/>
      <c r="D30" s="192"/>
      <c r="E30" s="192"/>
      <c r="F30" s="192"/>
      <c r="G30" s="192"/>
      <c r="H30" s="192"/>
      <c r="I30" s="192"/>
    </row>
    <row r="31" spans="2:9" ht="30" customHeight="1" x14ac:dyDescent="0.3">
      <c r="B31" s="191" t="s">
        <v>47</v>
      </c>
      <c r="C31" s="192"/>
      <c r="D31" s="192"/>
      <c r="E31" s="192"/>
      <c r="F31" s="192"/>
      <c r="G31" s="192"/>
      <c r="H31" s="192"/>
      <c r="I31" s="192"/>
    </row>
    <row r="32" spans="2:9" x14ac:dyDescent="0.3">
      <c r="B32" s="196" t="s">
        <v>48</v>
      </c>
      <c r="C32" s="192"/>
      <c r="D32" s="192"/>
      <c r="E32" s="192"/>
      <c r="F32" s="192"/>
      <c r="G32" s="192"/>
      <c r="H32" s="192"/>
      <c r="I32" s="192"/>
    </row>
    <row r="33" spans="2:9" ht="29.4" customHeight="1" x14ac:dyDescent="0.3">
      <c r="B33" s="191" t="s">
        <v>49</v>
      </c>
      <c r="C33" s="192"/>
      <c r="D33" s="192"/>
      <c r="E33" s="192"/>
      <c r="F33" s="192"/>
      <c r="G33" s="192"/>
      <c r="H33" s="192"/>
      <c r="I33" s="192"/>
    </row>
    <row r="34" spans="2:9" x14ac:dyDescent="0.3">
      <c r="B34" s="191"/>
      <c r="C34" s="192"/>
      <c r="D34" s="192"/>
      <c r="E34" s="192"/>
      <c r="F34" s="192"/>
      <c r="G34" s="192"/>
      <c r="H34" s="192"/>
      <c r="I34" s="192"/>
    </row>
    <row r="35" spans="2:9" ht="15.6" customHeight="1" x14ac:dyDescent="0.3">
      <c r="B35" s="193" t="s">
        <v>50</v>
      </c>
      <c r="C35" s="192"/>
      <c r="D35" s="192"/>
      <c r="E35" s="192"/>
      <c r="F35" s="192"/>
      <c r="G35" s="192"/>
      <c r="H35" s="192"/>
      <c r="I35" s="192"/>
    </row>
    <row r="36" spans="2:9" x14ac:dyDescent="0.3">
      <c r="B36" s="191" t="s">
        <v>51</v>
      </c>
      <c r="C36" s="192"/>
      <c r="D36" s="192"/>
      <c r="E36" s="192"/>
      <c r="F36" s="192"/>
      <c r="G36" s="192"/>
      <c r="H36" s="192"/>
      <c r="I36" s="192"/>
    </row>
    <row r="37" spans="2:9" x14ac:dyDescent="0.3">
      <c r="B37" s="191" t="s">
        <v>52</v>
      </c>
      <c r="C37" s="192"/>
      <c r="D37" s="192"/>
      <c r="E37" s="192"/>
      <c r="F37" s="192"/>
      <c r="G37" s="192"/>
      <c r="H37" s="192"/>
      <c r="I37" s="192"/>
    </row>
    <row r="38" spans="2:9" x14ac:dyDescent="0.3">
      <c r="B38" s="191" t="s">
        <v>53</v>
      </c>
      <c r="C38" s="192"/>
      <c r="D38" s="192"/>
      <c r="E38" s="192"/>
      <c r="F38" s="192"/>
      <c r="G38" s="192"/>
      <c r="H38" s="192"/>
      <c r="I38" s="192"/>
    </row>
    <row r="39" spans="2:9" x14ac:dyDescent="0.3">
      <c r="B39" s="191" t="s">
        <v>54</v>
      </c>
      <c r="C39" s="192"/>
      <c r="D39" s="192"/>
      <c r="E39" s="192"/>
      <c r="F39" s="192"/>
      <c r="G39" s="192"/>
      <c r="H39" s="192"/>
      <c r="I39" s="192"/>
    </row>
    <row r="40" spans="2:9" x14ac:dyDescent="0.3">
      <c r="B40" s="191" t="s">
        <v>55</v>
      </c>
      <c r="C40" s="192"/>
      <c r="D40" s="192"/>
      <c r="E40" s="192"/>
      <c r="F40" s="192"/>
      <c r="G40" s="192"/>
      <c r="H40" s="192"/>
      <c r="I40" s="192"/>
    </row>
    <row r="41" spans="2:9" x14ac:dyDescent="0.3">
      <c r="B41" s="191" t="s">
        <v>56</v>
      </c>
      <c r="C41" s="192"/>
      <c r="D41" s="192"/>
      <c r="E41" s="192"/>
      <c r="F41" s="192"/>
      <c r="G41" s="192"/>
      <c r="H41" s="192"/>
      <c r="I41" s="192"/>
    </row>
    <row r="42" spans="2:9" x14ac:dyDescent="0.3">
      <c r="B42" s="191" t="s">
        <v>57</v>
      </c>
      <c r="C42" s="192"/>
      <c r="D42" s="192"/>
      <c r="E42" s="192"/>
      <c r="F42" s="192"/>
      <c r="G42" s="192"/>
      <c r="H42" s="192"/>
      <c r="I42" s="192"/>
    </row>
    <row r="43" spans="2:9" x14ac:dyDescent="0.3">
      <c r="B43" s="191" t="s">
        <v>58</v>
      </c>
      <c r="C43" s="192"/>
      <c r="D43" s="192"/>
      <c r="E43" s="192"/>
      <c r="F43" s="192"/>
      <c r="G43" s="192"/>
      <c r="H43" s="192"/>
      <c r="I43" s="192"/>
    </row>
    <row r="44" spans="2:9" x14ac:dyDescent="0.3">
      <c r="B44" s="191" t="s">
        <v>59</v>
      </c>
      <c r="C44" s="192"/>
      <c r="D44" s="192"/>
      <c r="E44" s="192"/>
      <c r="F44" s="192"/>
      <c r="G44" s="192"/>
      <c r="H44" s="192"/>
      <c r="I44" s="192"/>
    </row>
    <row r="45" spans="2:9" x14ac:dyDescent="0.3">
      <c r="B45" s="191" t="s">
        <v>60</v>
      </c>
      <c r="C45" s="192"/>
      <c r="D45" s="192"/>
      <c r="E45" s="192"/>
      <c r="F45" s="192"/>
      <c r="G45" s="192"/>
      <c r="H45" s="192"/>
      <c r="I45" s="192"/>
    </row>
    <row r="46" spans="2:9" x14ac:dyDescent="0.3">
      <c r="B46" s="191"/>
      <c r="C46" s="192"/>
      <c r="D46" s="192"/>
      <c r="E46" s="192"/>
      <c r="F46" s="192"/>
      <c r="G46" s="192"/>
      <c r="H46" s="192"/>
      <c r="I46" s="192"/>
    </row>
    <row r="47" spans="2:9" s="106" customFormat="1" x14ac:dyDescent="0.3">
      <c r="B47" s="194" t="s">
        <v>61</v>
      </c>
      <c r="C47" s="195"/>
      <c r="D47" s="195"/>
      <c r="E47" s="195"/>
      <c r="F47" s="195"/>
      <c r="G47" s="195"/>
      <c r="H47" s="195"/>
      <c r="I47" s="195"/>
    </row>
    <row r="48" spans="2:9" x14ac:dyDescent="0.3">
      <c r="B48" s="105"/>
      <c r="C48" s="105"/>
      <c r="D48" s="105"/>
      <c r="E48" s="105"/>
      <c r="F48" s="105"/>
      <c r="G48" s="105"/>
      <c r="H48" s="105"/>
      <c r="I48" s="105"/>
    </row>
    <row r="49" spans="2:9" s="104" customFormat="1" ht="31.2" customHeight="1" x14ac:dyDescent="0.3">
      <c r="B49" s="197" t="s">
        <v>62</v>
      </c>
      <c r="C49" s="198"/>
      <c r="D49" s="198"/>
      <c r="E49" s="198"/>
      <c r="F49" s="198"/>
      <c r="G49" s="198"/>
      <c r="H49" s="198"/>
      <c r="I49" s="198"/>
    </row>
    <row r="50" spans="2:9" ht="18" customHeight="1" x14ac:dyDescent="0.3">
      <c r="B50" s="191" t="s">
        <v>63</v>
      </c>
      <c r="C50" s="192"/>
      <c r="D50" s="192"/>
      <c r="E50" s="192"/>
      <c r="F50" s="192"/>
      <c r="G50" s="192"/>
      <c r="H50" s="192"/>
      <c r="I50" s="192"/>
    </row>
    <row r="51" spans="2:9" ht="16.8" customHeight="1" x14ac:dyDescent="0.3">
      <c r="B51" s="191" t="s">
        <v>64</v>
      </c>
      <c r="C51" s="192"/>
      <c r="D51" s="192"/>
      <c r="E51" s="192"/>
      <c r="F51" s="192"/>
      <c r="G51" s="192"/>
      <c r="H51" s="192"/>
      <c r="I51" s="192"/>
    </row>
    <row r="52" spans="2:9" x14ac:dyDescent="0.3">
      <c r="B52" s="191" t="s">
        <v>65</v>
      </c>
      <c r="C52" s="192"/>
      <c r="D52" s="192"/>
      <c r="E52" s="192"/>
      <c r="F52" s="192"/>
      <c r="G52" s="192"/>
      <c r="H52" s="192"/>
      <c r="I52" s="192"/>
    </row>
    <row r="53" spans="2:9" x14ac:dyDescent="0.3">
      <c r="B53" s="191"/>
      <c r="C53" s="192"/>
      <c r="D53" s="192"/>
      <c r="E53" s="192"/>
      <c r="F53" s="192"/>
      <c r="G53" s="192"/>
      <c r="H53" s="192"/>
      <c r="I53" s="192"/>
    </row>
    <row r="54" spans="2:9" s="106" customFormat="1" x14ac:dyDescent="0.3">
      <c r="B54" s="194" t="s">
        <v>66</v>
      </c>
      <c r="C54" s="195"/>
      <c r="D54" s="195"/>
      <c r="E54" s="195"/>
      <c r="F54" s="195"/>
      <c r="G54" s="195"/>
      <c r="H54" s="195"/>
      <c r="I54" s="195"/>
    </row>
    <row r="55" spans="2:9" x14ac:dyDescent="0.3">
      <c r="B55" s="105"/>
      <c r="C55" s="105"/>
      <c r="D55" s="105"/>
      <c r="E55" s="105"/>
      <c r="F55" s="105"/>
      <c r="G55" s="105"/>
      <c r="H55" s="105"/>
      <c r="I55" s="105"/>
    </row>
    <row r="56" spans="2:9" s="104" customFormat="1" ht="44.4" customHeight="1" x14ac:dyDescent="0.3">
      <c r="B56" s="197" t="s">
        <v>67</v>
      </c>
      <c r="C56" s="198"/>
      <c r="D56" s="198"/>
      <c r="E56" s="198"/>
      <c r="F56" s="198"/>
      <c r="G56" s="198"/>
      <c r="H56" s="198"/>
      <c r="I56" s="198"/>
    </row>
    <row r="57" spans="2:9" x14ac:dyDescent="0.3">
      <c r="B57" s="191"/>
      <c r="C57" s="192"/>
      <c r="D57" s="192"/>
      <c r="E57" s="192"/>
      <c r="F57" s="192"/>
      <c r="G57" s="192"/>
      <c r="H57" s="192"/>
      <c r="I57" s="192"/>
    </row>
    <row r="58" spans="2:9" x14ac:dyDescent="0.3">
      <c r="B58" s="191" t="s">
        <v>68</v>
      </c>
      <c r="C58" s="192"/>
      <c r="D58" s="192"/>
      <c r="E58" s="192"/>
      <c r="F58" s="192"/>
      <c r="G58" s="192"/>
      <c r="H58" s="192"/>
      <c r="I58" s="192"/>
    </row>
    <row r="59" spans="2:9" ht="45" customHeight="1" x14ac:dyDescent="0.3">
      <c r="B59" s="191" t="s">
        <v>69</v>
      </c>
      <c r="C59" s="192"/>
      <c r="D59" s="192"/>
      <c r="E59" s="192"/>
      <c r="F59" s="192"/>
      <c r="G59" s="192"/>
      <c r="H59" s="192"/>
      <c r="I59" s="192"/>
    </row>
    <row r="60" spans="2:9" ht="45" customHeight="1" x14ac:dyDescent="0.3">
      <c r="B60" s="191" t="s">
        <v>70</v>
      </c>
      <c r="C60" s="192"/>
      <c r="D60" s="192"/>
      <c r="E60" s="192"/>
      <c r="F60" s="192"/>
      <c r="G60" s="192"/>
      <c r="H60" s="192"/>
      <c r="I60" s="192"/>
    </row>
    <row r="61" spans="2:9" ht="45" customHeight="1" x14ac:dyDescent="0.3">
      <c r="B61" s="191" t="s">
        <v>71</v>
      </c>
      <c r="C61" s="192"/>
      <c r="D61" s="192"/>
      <c r="E61" s="192"/>
      <c r="F61" s="192"/>
      <c r="G61" s="192"/>
      <c r="H61" s="192"/>
      <c r="I61" s="192"/>
    </row>
    <row r="62" spans="2:9" ht="45" customHeight="1" x14ac:dyDescent="0.3">
      <c r="B62" s="191" t="s">
        <v>72</v>
      </c>
      <c r="C62" s="192"/>
      <c r="D62" s="192"/>
      <c r="E62" s="192"/>
      <c r="F62" s="192"/>
      <c r="G62" s="192"/>
      <c r="H62" s="192"/>
      <c r="I62" s="192"/>
    </row>
  </sheetData>
  <sheetProtection algorithmName="SHA-512" hashValue="JyBCeG/GVxKl973fKdmSK53dfIrJMvUyktq02atbZWkOs82apqdbOHjqkepAu6fA4jSogIzoqkxgt43UZJYkJQ==" saltValue="RqgtdflW2W681h0D0Rt3MA==" spinCount="100000" sheet="1" objects="1" scenarios="1"/>
  <mergeCells count="59">
    <mergeCell ref="B1:I1"/>
    <mergeCell ref="B8:I8"/>
    <mergeCell ref="B57:I57"/>
    <mergeCell ref="B61:I61"/>
    <mergeCell ref="B17:I17"/>
    <mergeCell ref="B13:I13"/>
    <mergeCell ref="B53:I53"/>
    <mergeCell ref="B44:I44"/>
    <mergeCell ref="B29:I29"/>
    <mergeCell ref="B38:I38"/>
    <mergeCell ref="B34:I34"/>
    <mergeCell ref="B10:I10"/>
    <mergeCell ref="B28:I28"/>
    <mergeCell ref="B4:I4"/>
    <mergeCell ref="B19:I19"/>
    <mergeCell ref="B37:I37"/>
    <mergeCell ref="B2:I2"/>
    <mergeCell ref="B42:I42"/>
    <mergeCell ref="B14:I14"/>
    <mergeCell ref="B60:I60"/>
    <mergeCell ref="B23:I23"/>
    <mergeCell ref="B32:I32"/>
    <mergeCell ref="B49:I49"/>
    <mergeCell ref="B40:I40"/>
    <mergeCell ref="B9:I9"/>
    <mergeCell ref="B30:I30"/>
    <mergeCell ref="B15:I15"/>
    <mergeCell ref="B33:I33"/>
    <mergeCell ref="B6:I6"/>
    <mergeCell ref="B24:I24"/>
    <mergeCell ref="B51:I51"/>
    <mergeCell ref="B20:I20"/>
    <mergeCell ref="B3:I3"/>
    <mergeCell ref="B59:I59"/>
    <mergeCell ref="B31:I31"/>
    <mergeCell ref="B46:I46"/>
    <mergeCell ref="B27:I27"/>
    <mergeCell ref="B43:I43"/>
    <mergeCell ref="B12:I12"/>
    <mergeCell ref="B18:I18"/>
    <mergeCell ref="B58:I58"/>
    <mergeCell ref="B52:I52"/>
    <mergeCell ref="B21:I21"/>
    <mergeCell ref="B56:I56"/>
    <mergeCell ref="B39:I39"/>
    <mergeCell ref="B11:I11"/>
    <mergeCell ref="B5:I5"/>
    <mergeCell ref="B36:I36"/>
    <mergeCell ref="B62:I62"/>
    <mergeCell ref="B7:I7"/>
    <mergeCell ref="B25:I25"/>
    <mergeCell ref="B47:I47"/>
    <mergeCell ref="B16:I16"/>
    <mergeCell ref="B54:I54"/>
    <mergeCell ref="B45:I45"/>
    <mergeCell ref="B41:I41"/>
    <mergeCell ref="B35:I35"/>
    <mergeCell ref="B50:I50"/>
    <mergeCell ref="B26:I26"/>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37"/>
  <sheetViews>
    <sheetView workbookViewId="0">
      <selection activeCell="D108" sqref="D108"/>
    </sheetView>
  </sheetViews>
  <sheetFormatPr defaultColWidth="9.109375" defaultRowHeight="13.8" x14ac:dyDescent="0.25"/>
  <cols>
    <col min="1" max="1" width="2.77734375" style="2" customWidth="1"/>
    <col min="2" max="2" width="7.88671875" style="2" customWidth="1"/>
    <col min="3" max="3" width="32.77734375" style="2" customWidth="1"/>
    <col min="4" max="4" width="18.109375" style="2" customWidth="1"/>
    <col min="5" max="5" width="12.77734375" style="2" customWidth="1"/>
    <col min="6" max="6" width="12.33203125" style="2" customWidth="1"/>
    <col min="7" max="7" width="3.6640625" style="2" customWidth="1"/>
    <col min="8" max="8" width="7.44140625" style="2" customWidth="1"/>
    <col min="9" max="9" width="11.21875" style="2" customWidth="1"/>
    <col min="10" max="10" width="0.88671875" style="2" customWidth="1"/>
    <col min="11" max="11" width="12.77734375" style="6" customWidth="1"/>
    <col min="12" max="12" width="11.21875" style="7" customWidth="1"/>
    <col min="13" max="13" width="8.5546875" style="6" customWidth="1"/>
    <col min="14" max="14" width="9.5546875" style="8" customWidth="1"/>
    <col min="15" max="15" width="7.88671875" style="2" customWidth="1"/>
    <col min="16" max="256" width="9.109375" style="2" customWidth="1"/>
    <col min="257" max="257" width="4.109375" style="2" customWidth="1"/>
    <col min="258" max="258" width="30" style="2" customWidth="1"/>
    <col min="259" max="259" width="9.5546875" style="2" customWidth="1"/>
    <col min="260" max="260" width="13" style="2" customWidth="1"/>
    <col min="261" max="261" width="13.109375" style="2" customWidth="1"/>
    <col min="262" max="262" width="3.6640625" style="2" customWidth="1"/>
    <col min="263" max="263" width="1.6640625" style="2" customWidth="1"/>
    <col min="264" max="264" width="8.5546875" style="2" customWidth="1"/>
    <col min="265" max="265" width="0.88671875" style="2" customWidth="1"/>
    <col min="266" max="267" width="7.77734375" style="2" customWidth="1"/>
    <col min="268" max="512" width="9.109375" style="2" customWidth="1"/>
    <col min="513" max="513" width="4.109375" style="2" customWidth="1"/>
    <col min="514" max="514" width="30" style="2" customWidth="1"/>
    <col min="515" max="515" width="9.5546875" style="2" customWidth="1"/>
    <col min="516" max="516" width="13" style="2" customWidth="1"/>
    <col min="517" max="517" width="13.109375" style="2" customWidth="1"/>
    <col min="518" max="518" width="3.6640625" style="2" customWidth="1"/>
    <col min="519" max="519" width="1.6640625" style="2" customWidth="1"/>
    <col min="520" max="520" width="8.5546875" style="2" customWidth="1"/>
    <col min="521" max="521" width="0.88671875" style="2" customWidth="1"/>
    <col min="522" max="523" width="7.77734375" style="2" customWidth="1"/>
    <col min="524" max="768" width="9.109375" style="2" customWidth="1"/>
    <col min="769" max="769" width="4.109375" style="2" customWidth="1"/>
    <col min="770" max="770" width="30" style="2" customWidth="1"/>
    <col min="771" max="771" width="9.5546875" style="2" customWidth="1"/>
    <col min="772" max="772" width="13" style="2" customWidth="1"/>
    <col min="773" max="773" width="13.109375" style="2" customWidth="1"/>
    <col min="774" max="774" width="3.6640625" style="2" customWidth="1"/>
    <col min="775" max="775" width="1.6640625" style="2" customWidth="1"/>
    <col min="776" max="776" width="8.5546875" style="2" customWidth="1"/>
    <col min="777" max="777" width="0.88671875" style="2" customWidth="1"/>
    <col min="778" max="779" width="7.77734375" style="2" customWidth="1"/>
    <col min="780" max="1024" width="9.109375" style="2" customWidth="1"/>
    <col min="1025" max="1025" width="4.109375" style="2" customWidth="1"/>
    <col min="1026" max="1026" width="30" style="2" customWidth="1"/>
    <col min="1027" max="1027" width="9.5546875" style="2" customWidth="1"/>
    <col min="1028" max="1028" width="13" style="2" customWidth="1"/>
    <col min="1029" max="1029" width="13.109375" style="2" customWidth="1"/>
    <col min="1030" max="1030" width="3.6640625" style="2" customWidth="1"/>
    <col min="1031" max="1031" width="1.6640625" style="2" customWidth="1"/>
    <col min="1032" max="1032" width="8.5546875" style="2" customWidth="1"/>
    <col min="1033" max="1033" width="0.88671875" style="2" customWidth="1"/>
    <col min="1034" max="1035" width="7.77734375" style="2" customWidth="1"/>
    <col min="1036" max="1280" width="9.109375" style="2" customWidth="1"/>
    <col min="1281" max="1281" width="4.109375" style="2" customWidth="1"/>
    <col min="1282" max="1282" width="30" style="2" customWidth="1"/>
    <col min="1283" max="1283" width="9.5546875" style="2" customWidth="1"/>
    <col min="1284" max="1284" width="13" style="2" customWidth="1"/>
    <col min="1285" max="1285" width="13.109375" style="2" customWidth="1"/>
    <col min="1286" max="1286" width="3.6640625" style="2" customWidth="1"/>
    <col min="1287" max="1287" width="1.6640625" style="2" customWidth="1"/>
    <col min="1288" max="1288" width="8.5546875" style="2" customWidth="1"/>
    <col min="1289" max="1289" width="0.88671875" style="2" customWidth="1"/>
    <col min="1290" max="1291" width="7.77734375" style="2" customWidth="1"/>
    <col min="1292" max="1536" width="9.109375" style="2" customWidth="1"/>
    <col min="1537" max="1537" width="4.109375" style="2" customWidth="1"/>
    <col min="1538" max="1538" width="30" style="2" customWidth="1"/>
    <col min="1539" max="1539" width="9.5546875" style="2" customWidth="1"/>
    <col min="1540" max="1540" width="13" style="2" customWidth="1"/>
    <col min="1541" max="1541" width="13.109375" style="2" customWidth="1"/>
    <col min="1542" max="1542" width="3.6640625" style="2" customWidth="1"/>
    <col min="1543" max="1543" width="1.6640625" style="2" customWidth="1"/>
    <col min="1544" max="1544" width="8.5546875" style="2" customWidth="1"/>
    <col min="1545" max="1545" width="0.88671875" style="2" customWidth="1"/>
    <col min="1546" max="1547" width="7.77734375" style="2" customWidth="1"/>
    <col min="1548" max="1792" width="9.109375" style="2" customWidth="1"/>
    <col min="1793" max="1793" width="4.109375" style="2" customWidth="1"/>
    <col min="1794" max="1794" width="30" style="2" customWidth="1"/>
    <col min="1795" max="1795" width="9.5546875" style="2" customWidth="1"/>
    <col min="1796" max="1796" width="13" style="2" customWidth="1"/>
    <col min="1797" max="1797" width="13.109375" style="2" customWidth="1"/>
    <col min="1798" max="1798" width="3.6640625" style="2" customWidth="1"/>
    <col min="1799" max="1799" width="1.6640625" style="2" customWidth="1"/>
    <col min="1800" max="1800" width="8.5546875" style="2" customWidth="1"/>
    <col min="1801" max="1801" width="0.88671875" style="2" customWidth="1"/>
    <col min="1802" max="1803" width="7.77734375" style="2" customWidth="1"/>
    <col min="1804" max="2048" width="9.109375" style="2" customWidth="1"/>
    <col min="2049" max="2049" width="4.109375" style="2" customWidth="1"/>
    <col min="2050" max="2050" width="30" style="2" customWidth="1"/>
    <col min="2051" max="2051" width="9.5546875" style="2" customWidth="1"/>
    <col min="2052" max="2052" width="13" style="2" customWidth="1"/>
    <col min="2053" max="2053" width="13.109375" style="2" customWidth="1"/>
    <col min="2054" max="2054" width="3.6640625" style="2" customWidth="1"/>
    <col min="2055" max="2055" width="1.6640625" style="2" customWidth="1"/>
    <col min="2056" max="2056" width="8.5546875" style="2" customWidth="1"/>
    <col min="2057" max="2057" width="0.88671875" style="2" customWidth="1"/>
    <col min="2058" max="2059" width="7.77734375" style="2" customWidth="1"/>
    <col min="2060" max="2304" width="9.109375" style="2" customWidth="1"/>
    <col min="2305" max="2305" width="4.109375" style="2" customWidth="1"/>
    <col min="2306" max="2306" width="30" style="2" customWidth="1"/>
    <col min="2307" max="2307" width="9.5546875" style="2" customWidth="1"/>
    <col min="2308" max="2308" width="13" style="2" customWidth="1"/>
    <col min="2309" max="2309" width="13.109375" style="2" customWidth="1"/>
    <col min="2310" max="2310" width="3.6640625" style="2" customWidth="1"/>
    <col min="2311" max="2311" width="1.6640625" style="2" customWidth="1"/>
    <col min="2312" max="2312" width="8.5546875" style="2" customWidth="1"/>
    <col min="2313" max="2313" width="0.88671875" style="2" customWidth="1"/>
    <col min="2314" max="2315" width="7.77734375" style="2" customWidth="1"/>
    <col min="2316" max="2560" width="9.109375" style="2" customWidth="1"/>
    <col min="2561" max="2561" width="4.109375" style="2" customWidth="1"/>
    <col min="2562" max="2562" width="30" style="2" customWidth="1"/>
    <col min="2563" max="2563" width="9.5546875" style="2" customWidth="1"/>
    <col min="2564" max="2564" width="13" style="2" customWidth="1"/>
    <col min="2565" max="2565" width="13.109375" style="2" customWidth="1"/>
    <col min="2566" max="2566" width="3.6640625" style="2" customWidth="1"/>
    <col min="2567" max="2567" width="1.6640625" style="2" customWidth="1"/>
    <col min="2568" max="2568" width="8.5546875" style="2" customWidth="1"/>
    <col min="2569" max="2569" width="0.88671875" style="2" customWidth="1"/>
    <col min="2570" max="2571" width="7.77734375" style="2" customWidth="1"/>
    <col min="2572" max="2816" width="9.109375" style="2" customWidth="1"/>
    <col min="2817" max="2817" width="4.109375" style="2" customWidth="1"/>
    <col min="2818" max="2818" width="30" style="2" customWidth="1"/>
    <col min="2819" max="2819" width="9.5546875" style="2" customWidth="1"/>
    <col min="2820" max="2820" width="13" style="2" customWidth="1"/>
    <col min="2821" max="2821" width="13.109375" style="2" customWidth="1"/>
    <col min="2822" max="2822" width="3.6640625" style="2" customWidth="1"/>
    <col min="2823" max="2823" width="1.6640625" style="2" customWidth="1"/>
    <col min="2824" max="2824" width="8.5546875" style="2" customWidth="1"/>
    <col min="2825" max="2825" width="0.88671875" style="2" customWidth="1"/>
    <col min="2826" max="2827" width="7.77734375" style="2" customWidth="1"/>
    <col min="2828" max="3072" width="9.109375" style="2" customWidth="1"/>
    <col min="3073" max="3073" width="4.109375" style="2" customWidth="1"/>
    <col min="3074" max="3074" width="30" style="2" customWidth="1"/>
    <col min="3075" max="3075" width="9.5546875" style="2" customWidth="1"/>
    <col min="3076" max="3076" width="13" style="2" customWidth="1"/>
    <col min="3077" max="3077" width="13.109375" style="2" customWidth="1"/>
    <col min="3078" max="3078" width="3.6640625" style="2" customWidth="1"/>
    <col min="3079" max="3079" width="1.6640625" style="2" customWidth="1"/>
    <col min="3080" max="3080" width="8.5546875" style="2" customWidth="1"/>
    <col min="3081" max="3081" width="0.88671875" style="2" customWidth="1"/>
    <col min="3082" max="3083" width="7.77734375" style="2" customWidth="1"/>
    <col min="3084" max="3328" width="9.109375" style="2" customWidth="1"/>
    <col min="3329" max="3329" width="4.109375" style="2" customWidth="1"/>
    <col min="3330" max="3330" width="30" style="2" customWidth="1"/>
    <col min="3331" max="3331" width="9.5546875" style="2" customWidth="1"/>
    <col min="3332" max="3332" width="13" style="2" customWidth="1"/>
    <col min="3333" max="3333" width="13.109375" style="2" customWidth="1"/>
    <col min="3334" max="3334" width="3.6640625" style="2" customWidth="1"/>
    <col min="3335" max="3335" width="1.6640625" style="2" customWidth="1"/>
    <col min="3336" max="3336" width="8.5546875" style="2" customWidth="1"/>
    <col min="3337" max="3337" width="0.88671875" style="2" customWidth="1"/>
    <col min="3338" max="3339" width="7.77734375" style="2" customWidth="1"/>
    <col min="3340" max="3584" width="9.109375" style="2" customWidth="1"/>
    <col min="3585" max="3585" width="4.109375" style="2" customWidth="1"/>
    <col min="3586" max="3586" width="30" style="2" customWidth="1"/>
    <col min="3587" max="3587" width="9.5546875" style="2" customWidth="1"/>
    <col min="3588" max="3588" width="13" style="2" customWidth="1"/>
    <col min="3589" max="3589" width="13.109375" style="2" customWidth="1"/>
    <col min="3590" max="3590" width="3.6640625" style="2" customWidth="1"/>
    <col min="3591" max="3591" width="1.6640625" style="2" customWidth="1"/>
    <col min="3592" max="3592" width="8.5546875" style="2" customWidth="1"/>
    <col min="3593" max="3593" width="0.88671875" style="2" customWidth="1"/>
    <col min="3594" max="3595" width="7.77734375" style="2" customWidth="1"/>
    <col min="3596" max="3840" width="9.109375" style="2" customWidth="1"/>
    <col min="3841" max="3841" width="4.109375" style="2" customWidth="1"/>
    <col min="3842" max="3842" width="30" style="2" customWidth="1"/>
    <col min="3843" max="3843" width="9.5546875" style="2" customWidth="1"/>
    <col min="3844" max="3844" width="13" style="2" customWidth="1"/>
    <col min="3845" max="3845" width="13.109375" style="2" customWidth="1"/>
    <col min="3846" max="3846" width="3.6640625" style="2" customWidth="1"/>
    <col min="3847" max="3847" width="1.6640625" style="2" customWidth="1"/>
    <col min="3848" max="3848" width="8.5546875" style="2" customWidth="1"/>
    <col min="3849" max="3849" width="0.88671875" style="2" customWidth="1"/>
    <col min="3850" max="3851" width="7.77734375" style="2" customWidth="1"/>
    <col min="3852" max="4096" width="9.109375" style="2" customWidth="1"/>
    <col min="4097" max="4097" width="4.109375" style="2" customWidth="1"/>
    <col min="4098" max="4098" width="30" style="2" customWidth="1"/>
    <col min="4099" max="4099" width="9.5546875" style="2" customWidth="1"/>
    <col min="4100" max="4100" width="13" style="2" customWidth="1"/>
    <col min="4101" max="4101" width="13.109375" style="2" customWidth="1"/>
    <col min="4102" max="4102" width="3.6640625" style="2" customWidth="1"/>
    <col min="4103" max="4103" width="1.6640625" style="2" customWidth="1"/>
    <col min="4104" max="4104" width="8.5546875" style="2" customWidth="1"/>
    <col min="4105" max="4105" width="0.88671875" style="2" customWidth="1"/>
    <col min="4106" max="4107" width="7.77734375" style="2" customWidth="1"/>
    <col min="4108" max="4352" width="9.109375" style="2" customWidth="1"/>
    <col min="4353" max="4353" width="4.109375" style="2" customWidth="1"/>
    <col min="4354" max="4354" width="30" style="2" customWidth="1"/>
    <col min="4355" max="4355" width="9.5546875" style="2" customWidth="1"/>
    <col min="4356" max="4356" width="13" style="2" customWidth="1"/>
    <col min="4357" max="4357" width="13.109375" style="2" customWidth="1"/>
    <col min="4358" max="4358" width="3.6640625" style="2" customWidth="1"/>
    <col min="4359" max="4359" width="1.6640625" style="2" customWidth="1"/>
    <col min="4360" max="4360" width="8.5546875" style="2" customWidth="1"/>
    <col min="4361" max="4361" width="0.88671875" style="2" customWidth="1"/>
    <col min="4362" max="4363" width="7.77734375" style="2" customWidth="1"/>
    <col min="4364" max="4608" width="9.109375" style="2" customWidth="1"/>
    <col min="4609" max="4609" width="4.109375" style="2" customWidth="1"/>
    <col min="4610" max="4610" width="30" style="2" customWidth="1"/>
    <col min="4611" max="4611" width="9.5546875" style="2" customWidth="1"/>
    <col min="4612" max="4612" width="13" style="2" customWidth="1"/>
    <col min="4613" max="4613" width="13.109375" style="2" customWidth="1"/>
    <col min="4614" max="4614" width="3.6640625" style="2" customWidth="1"/>
    <col min="4615" max="4615" width="1.6640625" style="2" customWidth="1"/>
    <col min="4616" max="4616" width="8.5546875" style="2" customWidth="1"/>
    <col min="4617" max="4617" width="0.88671875" style="2" customWidth="1"/>
    <col min="4618" max="4619" width="7.77734375" style="2" customWidth="1"/>
    <col min="4620" max="4864" width="9.109375" style="2" customWidth="1"/>
    <col min="4865" max="4865" width="4.109375" style="2" customWidth="1"/>
    <col min="4866" max="4866" width="30" style="2" customWidth="1"/>
    <col min="4867" max="4867" width="9.5546875" style="2" customWidth="1"/>
    <col min="4868" max="4868" width="13" style="2" customWidth="1"/>
    <col min="4869" max="4869" width="13.109375" style="2" customWidth="1"/>
    <col min="4870" max="4870" width="3.6640625" style="2" customWidth="1"/>
    <col min="4871" max="4871" width="1.6640625" style="2" customWidth="1"/>
    <col min="4872" max="4872" width="8.5546875" style="2" customWidth="1"/>
    <col min="4873" max="4873" width="0.88671875" style="2" customWidth="1"/>
    <col min="4874" max="4875" width="7.77734375" style="2" customWidth="1"/>
    <col min="4876" max="5120" width="9.109375" style="2" customWidth="1"/>
    <col min="5121" max="5121" width="4.109375" style="2" customWidth="1"/>
    <col min="5122" max="5122" width="30" style="2" customWidth="1"/>
    <col min="5123" max="5123" width="9.5546875" style="2" customWidth="1"/>
    <col min="5124" max="5124" width="13" style="2" customWidth="1"/>
    <col min="5125" max="5125" width="13.109375" style="2" customWidth="1"/>
    <col min="5126" max="5126" width="3.6640625" style="2" customWidth="1"/>
    <col min="5127" max="5127" width="1.6640625" style="2" customWidth="1"/>
    <col min="5128" max="5128" width="8.5546875" style="2" customWidth="1"/>
    <col min="5129" max="5129" width="0.88671875" style="2" customWidth="1"/>
    <col min="5130" max="5131" width="7.77734375" style="2" customWidth="1"/>
    <col min="5132" max="5376" width="9.109375" style="2" customWidth="1"/>
    <col min="5377" max="5377" width="4.109375" style="2" customWidth="1"/>
    <col min="5378" max="5378" width="30" style="2" customWidth="1"/>
    <col min="5379" max="5379" width="9.5546875" style="2" customWidth="1"/>
    <col min="5380" max="5380" width="13" style="2" customWidth="1"/>
    <col min="5381" max="5381" width="13.109375" style="2" customWidth="1"/>
    <col min="5382" max="5382" width="3.6640625" style="2" customWidth="1"/>
    <col min="5383" max="5383" width="1.6640625" style="2" customWidth="1"/>
    <col min="5384" max="5384" width="8.5546875" style="2" customWidth="1"/>
    <col min="5385" max="5385" width="0.88671875" style="2" customWidth="1"/>
    <col min="5386" max="5387" width="7.77734375" style="2" customWidth="1"/>
    <col min="5388" max="5632" width="9.109375" style="2" customWidth="1"/>
    <col min="5633" max="5633" width="4.109375" style="2" customWidth="1"/>
    <col min="5634" max="5634" width="30" style="2" customWidth="1"/>
    <col min="5635" max="5635" width="9.5546875" style="2" customWidth="1"/>
    <col min="5636" max="5636" width="13" style="2" customWidth="1"/>
    <col min="5637" max="5637" width="13.109375" style="2" customWidth="1"/>
    <col min="5638" max="5638" width="3.6640625" style="2" customWidth="1"/>
    <col min="5639" max="5639" width="1.6640625" style="2" customWidth="1"/>
    <col min="5640" max="5640" width="8.5546875" style="2" customWidth="1"/>
    <col min="5641" max="5641" width="0.88671875" style="2" customWidth="1"/>
    <col min="5642" max="5643" width="7.77734375" style="2" customWidth="1"/>
    <col min="5644" max="5888" width="9.109375" style="2" customWidth="1"/>
    <col min="5889" max="5889" width="4.109375" style="2" customWidth="1"/>
    <col min="5890" max="5890" width="30" style="2" customWidth="1"/>
    <col min="5891" max="5891" width="9.5546875" style="2" customWidth="1"/>
    <col min="5892" max="5892" width="13" style="2" customWidth="1"/>
    <col min="5893" max="5893" width="13.109375" style="2" customWidth="1"/>
    <col min="5894" max="5894" width="3.6640625" style="2" customWidth="1"/>
    <col min="5895" max="5895" width="1.6640625" style="2" customWidth="1"/>
    <col min="5896" max="5896" width="8.5546875" style="2" customWidth="1"/>
    <col min="5897" max="5897" width="0.88671875" style="2" customWidth="1"/>
    <col min="5898" max="5899" width="7.77734375" style="2" customWidth="1"/>
    <col min="5900" max="6144" width="9.109375" style="2" customWidth="1"/>
    <col min="6145" max="6145" width="4.109375" style="2" customWidth="1"/>
    <col min="6146" max="6146" width="30" style="2" customWidth="1"/>
    <col min="6147" max="6147" width="9.5546875" style="2" customWidth="1"/>
    <col min="6148" max="6148" width="13" style="2" customWidth="1"/>
    <col min="6149" max="6149" width="13.109375" style="2" customWidth="1"/>
    <col min="6150" max="6150" width="3.6640625" style="2" customWidth="1"/>
    <col min="6151" max="6151" width="1.6640625" style="2" customWidth="1"/>
    <col min="6152" max="6152" width="8.5546875" style="2" customWidth="1"/>
    <col min="6153" max="6153" width="0.88671875" style="2" customWidth="1"/>
    <col min="6154" max="6155" width="7.77734375" style="2" customWidth="1"/>
    <col min="6156" max="6400" width="9.109375" style="2" customWidth="1"/>
    <col min="6401" max="6401" width="4.109375" style="2" customWidth="1"/>
    <col min="6402" max="6402" width="30" style="2" customWidth="1"/>
    <col min="6403" max="6403" width="9.5546875" style="2" customWidth="1"/>
    <col min="6404" max="6404" width="13" style="2" customWidth="1"/>
    <col min="6405" max="6405" width="13.109375" style="2" customWidth="1"/>
    <col min="6406" max="6406" width="3.6640625" style="2" customWidth="1"/>
    <col min="6407" max="6407" width="1.6640625" style="2" customWidth="1"/>
    <col min="6408" max="6408" width="8.5546875" style="2" customWidth="1"/>
    <col min="6409" max="6409" width="0.88671875" style="2" customWidth="1"/>
    <col min="6410" max="6411" width="7.77734375" style="2" customWidth="1"/>
    <col min="6412" max="6656" width="9.109375" style="2" customWidth="1"/>
    <col min="6657" max="6657" width="4.109375" style="2" customWidth="1"/>
    <col min="6658" max="6658" width="30" style="2" customWidth="1"/>
    <col min="6659" max="6659" width="9.5546875" style="2" customWidth="1"/>
    <col min="6660" max="6660" width="13" style="2" customWidth="1"/>
    <col min="6661" max="6661" width="13.109375" style="2" customWidth="1"/>
    <col min="6662" max="6662" width="3.6640625" style="2" customWidth="1"/>
    <col min="6663" max="6663" width="1.6640625" style="2" customWidth="1"/>
    <col min="6664" max="6664" width="8.5546875" style="2" customWidth="1"/>
    <col min="6665" max="6665" width="0.88671875" style="2" customWidth="1"/>
    <col min="6666" max="6667" width="7.77734375" style="2" customWidth="1"/>
    <col min="6668" max="6912" width="9.109375" style="2" customWidth="1"/>
    <col min="6913" max="6913" width="4.109375" style="2" customWidth="1"/>
    <col min="6914" max="6914" width="30" style="2" customWidth="1"/>
    <col min="6915" max="6915" width="9.5546875" style="2" customWidth="1"/>
    <col min="6916" max="6916" width="13" style="2" customWidth="1"/>
    <col min="6917" max="6917" width="13.109375" style="2" customWidth="1"/>
    <col min="6918" max="6918" width="3.6640625" style="2" customWidth="1"/>
    <col min="6919" max="6919" width="1.6640625" style="2" customWidth="1"/>
    <col min="6920" max="6920" width="8.5546875" style="2" customWidth="1"/>
    <col min="6921" max="6921" width="0.88671875" style="2" customWidth="1"/>
    <col min="6922" max="6923" width="7.77734375" style="2" customWidth="1"/>
    <col min="6924" max="7168" width="9.109375" style="2" customWidth="1"/>
    <col min="7169" max="7169" width="4.109375" style="2" customWidth="1"/>
    <col min="7170" max="7170" width="30" style="2" customWidth="1"/>
    <col min="7171" max="7171" width="9.5546875" style="2" customWidth="1"/>
    <col min="7172" max="7172" width="13" style="2" customWidth="1"/>
    <col min="7173" max="7173" width="13.109375" style="2" customWidth="1"/>
    <col min="7174" max="7174" width="3.6640625" style="2" customWidth="1"/>
    <col min="7175" max="7175" width="1.6640625" style="2" customWidth="1"/>
    <col min="7176" max="7176" width="8.5546875" style="2" customWidth="1"/>
    <col min="7177" max="7177" width="0.88671875" style="2" customWidth="1"/>
    <col min="7178" max="7179" width="7.77734375" style="2" customWidth="1"/>
    <col min="7180" max="7424" width="9.109375" style="2" customWidth="1"/>
    <col min="7425" max="7425" width="4.109375" style="2" customWidth="1"/>
    <col min="7426" max="7426" width="30" style="2" customWidth="1"/>
    <col min="7427" max="7427" width="9.5546875" style="2" customWidth="1"/>
    <col min="7428" max="7428" width="13" style="2" customWidth="1"/>
    <col min="7429" max="7429" width="13.109375" style="2" customWidth="1"/>
    <col min="7430" max="7430" width="3.6640625" style="2" customWidth="1"/>
    <col min="7431" max="7431" width="1.6640625" style="2" customWidth="1"/>
    <col min="7432" max="7432" width="8.5546875" style="2" customWidth="1"/>
    <col min="7433" max="7433" width="0.88671875" style="2" customWidth="1"/>
    <col min="7434" max="7435" width="7.77734375" style="2" customWidth="1"/>
    <col min="7436" max="7680" width="9.109375" style="2" customWidth="1"/>
    <col min="7681" max="7681" width="4.109375" style="2" customWidth="1"/>
    <col min="7682" max="7682" width="30" style="2" customWidth="1"/>
    <col min="7683" max="7683" width="9.5546875" style="2" customWidth="1"/>
    <col min="7684" max="7684" width="13" style="2" customWidth="1"/>
    <col min="7685" max="7685" width="13.109375" style="2" customWidth="1"/>
    <col min="7686" max="7686" width="3.6640625" style="2" customWidth="1"/>
    <col min="7687" max="7687" width="1.6640625" style="2" customWidth="1"/>
    <col min="7688" max="7688" width="8.5546875" style="2" customWidth="1"/>
    <col min="7689" max="7689" width="0.88671875" style="2" customWidth="1"/>
    <col min="7690" max="7691" width="7.77734375" style="2" customWidth="1"/>
    <col min="7692" max="7936" width="9.109375" style="2" customWidth="1"/>
    <col min="7937" max="7937" width="4.109375" style="2" customWidth="1"/>
    <col min="7938" max="7938" width="30" style="2" customWidth="1"/>
    <col min="7939" max="7939" width="9.5546875" style="2" customWidth="1"/>
    <col min="7940" max="7940" width="13" style="2" customWidth="1"/>
    <col min="7941" max="7941" width="13.109375" style="2" customWidth="1"/>
    <col min="7942" max="7942" width="3.6640625" style="2" customWidth="1"/>
    <col min="7943" max="7943" width="1.6640625" style="2" customWidth="1"/>
    <col min="7944" max="7944" width="8.5546875" style="2" customWidth="1"/>
    <col min="7945" max="7945" width="0.88671875" style="2" customWidth="1"/>
    <col min="7946" max="7947" width="7.77734375" style="2" customWidth="1"/>
    <col min="7948" max="8192" width="9.109375" style="2" customWidth="1"/>
    <col min="8193" max="8193" width="4.109375" style="2" customWidth="1"/>
    <col min="8194" max="8194" width="30" style="2" customWidth="1"/>
    <col min="8195" max="8195" width="9.5546875" style="2" customWidth="1"/>
    <col min="8196" max="8196" width="13" style="2" customWidth="1"/>
    <col min="8197" max="8197" width="13.109375" style="2" customWidth="1"/>
    <col min="8198" max="8198" width="3.6640625" style="2" customWidth="1"/>
    <col min="8199" max="8199" width="1.6640625" style="2" customWidth="1"/>
    <col min="8200" max="8200" width="8.5546875" style="2" customWidth="1"/>
    <col min="8201" max="8201" width="0.88671875" style="2" customWidth="1"/>
    <col min="8202" max="8203" width="7.77734375" style="2" customWidth="1"/>
    <col min="8204" max="8448" width="9.109375" style="2" customWidth="1"/>
    <col min="8449" max="8449" width="4.109375" style="2" customWidth="1"/>
    <col min="8450" max="8450" width="30" style="2" customWidth="1"/>
    <col min="8451" max="8451" width="9.5546875" style="2" customWidth="1"/>
    <col min="8452" max="8452" width="13" style="2" customWidth="1"/>
    <col min="8453" max="8453" width="13.109375" style="2" customWidth="1"/>
    <col min="8454" max="8454" width="3.6640625" style="2" customWidth="1"/>
    <col min="8455" max="8455" width="1.6640625" style="2" customWidth="1"/>
    <col min="8456" max="8456" width="8.5546875" style="2" customWidth="1"/>
    <col min="8457" max="8457" width="0.88671875" style="2" customWidth="1"/>
    <col min="8458" max="8459" width="7.77734375" style="2" customWidth="1"/>
    <col min="8460" max="8704" width="9.109375" style="2" customWidth="1"/>
    <col min="8705" max="8705" width="4.109375" style="2" customWidth="1"/>
    <col min="8706" max="8706" width="30" style="2" customWidth="1"/>
    <col min="8707" max="8707" width="9.5546875" style="2" customWidth="1"/>
    <col min="8708" max="8708" width="13" style="2" customWidth="1"/>
    <col min="8709" max="8709" width="13.109375" style="2" customWidth="1"/>
    <col min="8710" max="8710" width="3.6640625" style="2" customWidth="1"/>
    <col min="8711" max="8711" width="1.6640625" style="2" customWidth="1"/>
    <col min="8712" max="8712" width="8.5546875" style="2" customWidth="1"/>
    <col min="8713" max="8713" width="0.88671875" style="2" customWidth="1"/>
    <col min="8714" max="8715" width="7.77734375" style="2" customWidth="1"/>
    <col min="8716" max="8960" width="9.109375" style="2" customWidth="1"/>
    <col min="8961" max="8961" width="4.109375" style="2" customWidth="1"/>
    <col min="8962" max="8962" width="30" style="2" customWidth="1"/>
    <col min="8963" max="8963" width="9.5546875" style="2" customWidth="1"/>
    <col min="8964" max="8964" width="13" style="2" customWidth="1"/>
    <col min="8965" max="8965" width="13.109375" style="2" customWidth="1"/>
    <col min="8966" max="8966" width="3.6640625" style="2" customWidth="1"/>
    <col min="8967" max="8967" width="1.6640625" style="2" customWidth="1"/>
    <col min="8968" max="8968" width="8.5546875" style="2" customWidth="1"/>
    <col min="8969" max="8969" width="0.88671875" style="2" customWidth="1"/>
    <col min="8970" max="8971" width="7.77734375" style="2" customWidth="1"/>
    <col min="8972" max="9216" width="9.109375" style="2" customWidth="1"/>
    <col min="9217" max="9217" width="4.109375" style="2" customWidth="1"/>
    <col min="9218" max="9218" width="30" style="2" customWidth="1"/>
    <col min="9219" max="9219" width="9.5546875" style="2" customWidth="1"/>
    <col min="9220" max="9220" width="13" style="2" customWidth="1"/>
    <col min="9221" max="9221" width="13.109375" style="2" customWidth="1"/>
    <col min="9222" max="9222" width="3.6640625" style="2" customWidth="1"/>
    <col min="9223" max="9223" width="1.6640625" style="2" customWidth="1"/>
    <col min="9224" max="9224" width="8.5546875" style="2" customWidth="1"/>
    <col min="9225" max="9225" width="0.88671875" style="2" customWidth="1"/>
    <col min="9226" max="9227" width="7.77734375" style="2" customWidth="1"/>
    <col min="9228" max="9472" width="9.109375" style="2" customWidth="1"/>
    <col min="9473" max="9473" width="4.109375" style="2" customWidth="1"/>
    <col min="9474" max="9474" width="30" style="2" customWidth="1"/>
    <col min="9475" max="9475" width="9.5546875" style="2" customWidth="1"/>
    <col min="9476" max="9476" width="13" style="2" customWidth="1"/>
    <col min="9477" max="9477" width="13.109375" style="2" customWidth="1"/>
    <col min="9478" max="9478" width="3.6640625" style="2" customWidth="1"/>
    <col min="9479" max="9479" width="1.6640625" style="2" customWidth="1"/>
    <col min="9480" max="9480" width="8.5546875" style="2" customWidth="1"/>
    <col min="9481" max="9481" width="0.88671875" style="2" customWidth="1"/>
    <col min="9482" max="9483" width="7.77734375" style="2" customWidth="1"/>
    <col min="9484" max="9728" width="9.109375" style="2" customWidth="1"/>
    <col min="9729" max="9729" width="4.109375" style="2" customWidth="1"/>
    <col min="9730" max="9730" width="30" style="2" customWidth="1"/>
    <col min="9731" max="9731" width="9.5546875" style="2" customWidth="1"/>
    <col min="9732" max="9732" width="13" style="2" customWidth="1"/>
    <col min="9733" max="9733" width="13.109375" style="2" customWidth="1"/>
    <col min="9734" max="9734" width="3.6640625" style="2" customWidth="1"/>
    <col min="9735" max="9735" width="1.6640625" style="2" customWidth="1"/>
    <col min="9736" max="9736" width="8.5546875" style="2" customWidth="1"/>
    <col min="9737" max="9737" width="0.88671875" style="2" customWidth="1"/>
    <col min="9738" max="9739" width="7.77734375" style="2" customWidth="1"/>
    <col min="9740" max="9984" width="9.109375" style="2" customWidth="1"/>
    <col min="9985" max="9985" width="4.109375" style="2" customWidth="1"/>
    <col min="9986" max="9986" width="30" style="2" customWidth="1"/>
    <col min="9987" max="9987" width="9.5546875" style="2" customWidth="1"/>
    <col min="9988" max="9988" width="13" style="2" customWidth="1"/>
    <col min="9989" max="9989" width="13.109375" style="2" customWidth="1"/>
    <col min="9990" max="9990" width="3.6640625" style="2" customWidth="1"/>
    <col min="9991" max="9991" width="1.6640625" style="2" customWidth="1"/>
    <col min="9992" max="9992" width="8.5546875" style="2" customWidth="1"/>
    <col min="9993" max="9993" width="0.88671875" style="2" customWidth="1"/>
    <col min="9994" max="9995" width="7.77734375" style="2" customWidth="1"/>
    <col min="9996" max="10240" width="9.109375" style="2" customWidth="1"/>
    <col min="10241" max="10241" width="4.109375" style="2" customWidth="1"/>
    <col min="10242" max="10242" width="30" style="2" customWidth="1"/>
    <col min="10243" max="10243" width="9.5546875" style="2" customWidth="1"/>
    <col min="10244" max="10244" width="13" style="2" customWidth="1"/>
    <col min="10245" max="10245" width="13.109375" style="2" customWidth="1"/>
    <col min="10246" max="10246" width="3.6640625" style="2" customWidth="1"/>
    <col min="10247" max="10247" width="1.6640625" style="2" customWidth="1"/>
    <col min="10248" max="10248" width="8.5546875" style="2" customWidth="1"/>
    <col min="10249" max="10249" width="0.88671875" style="2" customWidth="1"/>
    <col min="10250" max="10251" width="7.77734375" style="2" customWidth="1"/>
    <col min="10252" max="10496" width="9.109375" style="2" customWidth="1"/>
    <col min="10497" max="10497" width="4.109375" style="2" customWidth="1"/>
    <col min="10498" max="10498" width="30" style="2" customWidth="1"/>
    <col min="10499" max="10499" width="9.5546875" style="2" customWidth="1"/>
    <col min="10500" max="10500" width="13" style="2" customWidth="1"/>
    <col min="10501" max="10501" width="13.109375" style="2" customWidth="1"/>
    <col min="10502" max="10502" width="3.6640625" style="2" customWidth="1"/>
    <col min="10503" max="10503" width="1.6640625" style="2" customWidth="1"/>
    <col min="10504" max="10504" width="8.5546875" style="2" customWidth="1"/>
    <col min="10505" max="10505" width="0.88671875" style="2" customWidth="1"/>
    <col min="10506" max="10507" width="7.77734375" style="2" customWidth="1"/>
    <col min="10508" max="10752" width="9.109375" style="2" customWidth="1"/>
    <col min="10753" max="10753" width="4.109375" style="2" customWidth="1"/>
    <col min="10754" max="10754" width="30" style="2" customWidth="1"/>
    <col min="10755" max="10755" width="9.5546875" style="2" customWidth="1"/>
    <col min="10756" max="10756" width="13" style="2" customWidth="1"/>
    <col min="10757" max="10757" width="13.109375" style="2" customWidth="1"/>
    <col min="10758" max="10758" width="3.6640625" style="2" customWidth="1"/>
    <col min="10759" max="10759" width="1.6640625" style="2" customWidth="1"/>
    <col min="10760" max="10760" width="8.5546875" style="2" customWidth="1"/>
    <col min="10761" max="10761" width="0.88671875" style="2" customWidth="1"/>
    <col min="10762" max="10763" width="7.77734375" style="2" customWidth="1"/>
    <col min="10764" max="11008" width="9.109375" style="2" customWidth="1"/>
    <col min="11009" max="11009" width="4.109375" style="2" customWidth="1"/>
    <col min="11010" max="11010" width="30" style="2" customWidth="1"/>
    <col min="11011" max="11011" width="9.5546875" style="2" customWidth="1"/>
    <col min="11012" max="11012" width="13" style="2" customWidth="1"/>
    <col min="11013" max="11013" width="13.109375" style="2" customWidth="1"/>
    <col min="11014" max="11014" width="3.6640625" style="2" customWidth="1"/>
    <col min="11015" max="11015" width="1.6640625" style="2" customWidth="1"/>
    <col min="11016" max="11016" width="8.5546875" style="2" customWidth="1"/>
    <col min="11017" max="11017" width="0.88671875" style="2" customWidth="1"/>
    <col min="11018" max="11019" width="7.77734375" style="2" customWidth="1"/>
    <col min="11020" max="11264" width="9.109375" style="2" customWidth="1"/>
    <col min="11265" max="11265" width="4.109375" style="2" customWidth="1"/>
    <col min="11266" max="11266" width="30" style="2" customWidth="1"/>
    <col min="11267" max="11267" width="9.5546875" style="2" customWidth="1"/>
    <col min="11268" max="11268" width="13" style="2" customWidth="1"/>
    <col min="11269" max="11269" width="13.109375" style="2" customWidth="1"/>
    <col min="11270" max="11270" width="3.6640625" style="2" customWidth="1"/>
    <col min="11271" max="11271" width="1.6640625" style="2" customWidth="1"/>
    <col min="11272" max="11272" width="8.5546875" style="2" customWidth="1"/>
    <col min="11273" max="11273" width="0.88671875" style="2" customWidth="1"/>
    <col min="11274" max="11275" width="7.77734375" style="2" customWidth="1"/>
    <col min="11276" max="11520" width="9.109375" style="2" customWidth="1"/>
    <col min="11521" max="11521" width="4.109375" style="2" customWidth="1"/>
    <col min="11522" max="11522" width="30" style="2" customWidth="1"/>
    <col min="11523" max="11523" width="9.5546875" style="2" customWidth="1"/>
    <col min="11524" max="11524" width="13" style="2" customWidth="1"/>
    <col min="11525" max="11525" width="13.109375" style="2" customWidth="1"/>
    <col min="11526" max="11526" width="3.6640625" style="2" customWidth="1"/>
    <col min="11527" max="11527" width="1.6640625" style="2" customWidth="1"/>
    <col min="11528" max="11528" width="8.5546875" style="2" customWidth="1"/>
    <col min="11529" max="11529" width="0.88671875" style="2" customWidth="1"/>
    <col min="11530" max="11531" width="7.77734375" style="2" customWidth="1"/>
    <col min="11532" max="11776" width="9.109375" style="2" customWidth="1"/>
    <col min="11777" max="11777" width="4.109375" style="2" customWidth="1"/>
    <col min="11778" max="11778" width="30" style="2" customWidth="1"/>
    <col min="11779" max="11779" width="9.5546875" style="2" customWidth="1"/>
    <col min="11780" max="11780" width="13" style="2" customWidth="1"/>
    <col min="11781" max="11781" width="13.109375" style="2" customWidth="1"/>
    <col min="11782" max="11782" width="3.6640625" style="2" customWidth="1"/>
    <col min="11783" max="11783" width="1.6640625" style="2" customWidth="1"/>
    <col min="11784" max="11784" width="8.5546875" style="2" customWidth="1"/>
    <col min="11785" max="11785" width="0.88671875" style="2" customWidth="1"/>
    <col min="11786" max="11787" width="7.77734375" style="2" customWidth="1"/>
    <col min="11788" max="12032" width="9.109375" style="2" customWidth="1"/>
    <col min="12033" max="12033" width="4.109375" style="2" customWidth="1"/>
    <col min="12034" max="12034" width="30" style="2" customWidth="1"/>
    <col min="12035" max="12035" width="9.5546875" style="2" customWidth="1"/>
    <col min="12036" max="12036" width="13" style="2" customWidth="1"/>
    <col min="12037" max="12037" width="13.109375" style="2" customWidth="1"/>
    <col min="12038" max="12038" width="3.6640625" style="2" customWidth="1"/>
    <col min="12039" max="12039" width="1.6640625" style="2" customWidth="1"/>
    <col min="12040" max="12040" width="8.5546875" style="2" customWidth="1"/>
    <col min="12041" max="12041" width="0.88671875" style="2" customWidth="1"/>
    <col min="12042" max="12043" width="7.77734375" style="2" customWidth="1"/>
    <col min="12044" max="12288" width="9.109375" style="2" customWidth="1"/>
    <col min="12289" max="12289" width="4.109375" style="2" customWidth="1"/>
    <col min="12290" max="12290" width="30" style="2" customWidth="1"/>
    <col min="12291" max="12291" width="9.5546875" style="2" customWidth="1"/>
    <col min="12292" max="12292" width="13" style="2" customWidth="1"/>
    <col min="12293" max="12293" width="13.109375" style="2" customWidth="1"/>
    <col min="12294" max="12294" width="3.6640625" style="2" customWidth="1"/>
    <col min="12295" max="12295" width="1.6640625" style="2" customWidth="1"/>
    <col min="12296" max="12296" width="8.5546875" style="2" customWidth="1"/>
    <col min="12297" max="12297" width="0.88671875" style="2" customWidth="1"/>
    <col min="12298" max="12299" width="7.77734375" style="2" customWidth="1"/>
    <col min="12300" max="12544" width="9.109375" style="2" customWidth="1"/>
    <col min="12545" max="12545" width="4.109375" style="2" customWidth="1"/>
    <col min="12546" max="12546" width="30" style="2" customWidth="1"/>
    <col min="12547" max="12547" width="9.5546875" style="2" customWidth="1"/>
    <col min="12548" max="12548" width="13" style="2" customWidth="1"/>
    <col min="12549" max="12549" width="13.109375" style="2" customWidth="1"/>
    <col min="12550" max="12550" width="3.6640625" style="2" customWidth="1"/>
    <col min="12551" max="12551" width="1.6640625" style="2" customWidth="1"/>
    <col min="12552" max="12552" width="8.5546875" style="2" customWidth="1"/>
    <col min="12553" max="12553" width="0.88671875" style="2" customWidth="1"/>
    <col min="12554" max="12555" width="7.77734375" style="2" customWidth="1"/>
    <col min="12556" max="12800" width="9.109375" style="2" customWidth="1"/>
    <col min="12801" max="12801" width="4.109375" style="2" customWidth="1"/>
    <col min="12802" max="12802" width="30" style="2" customWidth="1"/>
    <col min="12803" max="12803" width="9.5546875" style="2" customWidth="1"/>
    <col min="12804" max="12804" width="13" style="2" customWidth="1"/>
    <col min="12805" max="12805" width="13.109375" style="2" customWidth="1"/>
    <col min="12806" max="12806" width="3.6640625" style="2" customWidth="1"/>
    <col min="12807" max="12807" width="1.6640625" style="2" customWidth="1"/>
    <col min="12808" max="12808" width="8.5546875" style="2" customWidth="1"/>
    <col min="12809" max="12809" width="0.88671875" style="2" customWidth="1"/>
    <col min="12810" max="12811" width="7.77734375" style="2" customWidth="1"/>
    <col min="12812" max="13056" width="9.109375" style="2" customWidth="1"/>
    <col min="13057" max="13057" width="4.109375" style="2" customWidth="1"/>
    <col min="13058" max="13058" width="30" style="2" customWidth="1"/>
    <col min="13059" max="13059" width="9.5546875" style="2" customWidth="1"/>
    <col min="13060" max="13060" width="13" style="2" customWidth="1"/>
    <col min="13061" max="13061" width="13.109375" style="2" customWidth="1"/>
    <col min="13062" max="13062" width="3.6640625" style="2" customWidth="1"/>
    <col min="13063" max="13063" width="1.6640625" style="2" customWidth="1"/>
    <col min="13064" max="13064" width="8.5546875" style="2" customWidth="1"/>
    <col min="13065" max="13065" width="0.88671875" style="2" customWidth="1"/>
    <col min="13066" max="13067" width="7.77734375" style="2" customWidth="1"/>
    <col min="13068" max="13312" width="9.109375" style="2" customWidth="1"/>
    <col min="13313" max="13313" width="4.109375" style="2" customWidth="1"/>
    <col min="13314" max="13314" width="30" style="2" customWidth="1"/>
    <col min="13315" max="13315" width="9.5546875" style="2" customWidth="1"/>
    <col min="13316" max="13316" width="13" style="2" customWidth="1"/>
    <col min="13317" max="13317" width="13.109375" style="2" customWidth="1"/>
    <col min="13318" max="13318" width="3.6640625" style="2" customWidth="1"/>
    <col min="13319" max="13319" width="1.6640625" style="2" customWidth="1"/>
    <col min="13320" max="13320" width="8.5546875" style="2" customWidth="1"/>
    <col min="13321" max="13321" width="0.88671875" style="2" customWidth="1"/>
    <col min="13322" max="13323" width="7.77734375" style="2" customWidth="1"/>
    <col min="13324" max="13568" width="9.109375" style="2" customWidth="1"/>
    <col min="13569" max="13569" width="4.109375" style="2" customWidth="1"/>
    <col min="13570" max="13570" width="30" style="2" customWidth="1"/>
    <col min="13571" max="13571" width="9.5546875" style="2" customWidth="1"/>
    <col min="13572" max="13572" width="13" style="2" customWidth="1"/>
    <col min="13573" max="13573" width="13.109375" style="2" customWidth="1"/>
    <col min="13574" max="13574" width="3.6640625" style="2" customWidth="1"/>
    <col min="13575" max="13575" width="1.6640625" style="2" customWidth="1"/>
    <col min="13576" max="13576" width="8.5546875" style="2" customWidth="1"/>
    <col min="13577" max="13577" width="0.88671875" style="2" customWidth="1"/>
    <col min="13578" max="13579" width="7.77734375" style="2" customWidth="1"/>
    <col min="13580" max="13824" width="9.109375" style="2" customWidth="1"/>
    <col min="13825" max="13825" width="4.109375" style="2" customWidth="1"/>
    <col min="13826" max="13826" width="30" style="2" customWidth="1"/>
    <col min="13827" max="13827" width="9.5546875" style="2" customWidth="1"/>
    <col min="13828" max="13828" width="13" style="2" customWidth="1"/>
    <col min="13829" max="13829" width="13.109375" style="2" customWidth="1"/>
    <col min="13830" max="13830" width="3.6640625" style="2" customWidth="1"/>
    <col min="13831" max="13831" width="1.6640625" style="2" customWidth="1"/>
    <col min="13832" max="13832" width="8.5546875" style="2" customWidth="1"/>
    <col min="13833" max="13833" width="0.88671875" style="2" customWidth="1"/>
    <col min="13834" max="13835" width="7.77734375" style="2" customWidth="1"/>
    <col min="13836" max="14080" width="9.109375" style="2" customWidth="1"/>
    <col min="14081" max="14081" width="4.109375" style="2" customWidth="1"/>
    <col min="14082" max="14082" width="30" style="2" customWidth="1"/>
    <col min="14083" max="14083" width="9.5546875" style="2" customWidth="1"/>
    <col min="14084" max="14084" width="13" style="2" customWidth="1"/>
    <col min="14085" max="14085" width="13.109375" style="2" customWidth="1"/>
    <col min="14086" max="14086" width="3.6640625" style="2" customWidth="1"/>
    <col min="14087" max="14087" width="1.6640625" style="2" customWidth="1"/>
    <col min="14088" max="14088" width="8.5546875" style="2" customWidth="1"/>
    <col min="14089" max="14089" width="0.88671875" style="2" customWidth="1"/>
    <col min="14090" max="14091" width="7.77734375" style="2" customWidth="1"/>
    <col min="14092" max="14336" width="9.109375" style="2" customWidth="1"/>
    <col min="14337" max="14337" width="4.109375" style="2" customWidth="1"/>
    <col min="14338" max="14338" width="30" style="2" customWidth="1"/>
    <col min="14339" max="14339" width="9.5546875" style="2" customWidth="1"/>
    <col min="14340" max="14340" width="13" style="2" customWidth="1"/>
    <col min="14341" max="14341" width="13.109375" style="2" customWidth="1"/>
    <col min="14342" max="14342" width="3.6640625" style="2" customWidth="1"/>
    <col min="14343" max="14343" width="1.6640625" style="2" customWidth="1"/>
    <col min="14344" max="14344" width="8.5546875" style="2" customWidth="1"/>
    <col min="14345" max="14345" width="0.88671875" style="2" customWidth="1"/>
    <col min="14346" max="14347" width="7.77734375" style="2" customWidth="1"/>
    <col min="14348" max="14592" width="9.109375" style="2" customWidth="1"/>
    <col min="14593" max="14593" width="4.109375" style="2" customWidth="1"/>
    <col min="14594" max="14594" width="30" style="2" customWidth="1"/>
    <col min="14595" max="14595" width="9.5546875" style="2" customWidth="1"/>
    <col min="14596" max="14596" width="13" style="2" customWidth="1"/>
    <col min="14597" max="14597" width="13.109375" style="2" customWidth="1"/>
    <col min="14598" max="14598" width="3.6640625" style="2" customWidth="1"/>
    <col min="14599" max="14599" width="1.6640625" style="2" customWidth="1"/>
    <col min="14600" max="14600" width="8.5546875" style="2" customWidth="1"/>
    <col min="14601" max="14601" width="0.88671875" style="2" customWidth="1"/>
    <col min="14602" max="14603" width="7.77734375" style="2" customWidth="1"/>
    <col min="14604" max="14848" width="9.109375" style="2" customWidth="1"/>
    <col min="14849" max="14849" width="4.109375" style="2" customWidth="1"/>
    <col min="14850" max="14850" width="30" style="2" customWidth="1"/>
    <col min="14851" max="14851" width="9.5546875" style="2" customWidth="1"/>
    <col min="14852" max="14852" width="13" style="2" customWidth="1"/>
    <col min="14853" max="14853" width="13.109375" style="2" customWidth="1"/>
    <col min="14854" max="14854" width="3.6640625" style="2" customWidth="1"/>
    <col min="14855" max="14855" width="1.6640625" style="2" customWidth="1"/>
    <col min="14856" max="14856" width="8.5546875" style="2" customWidth="1"/>
    <col min="14857" max="14857" width="0.88671875" style="2" customWidth="1"/>
    <col min="14858" max="14859" width="7.77734375" style="2" customWidth="1"/>
    <col min="14860" max="15104" width="9.109375" style="2" customWidth="1"/>
    <col min="15105" max="15105" width="4.109375" style="2" customWidth="1"/>
    <col min="15106" max="15106" width="30" style="2" customWidth="1"/>
    <col min="15107" max="15107" width="9.5546875" style="2" customWidth="1"/>
    <col min="15108" max="15108" width="13" style="2" customWidth="1"/>
    <col min="15109" max="15109" width="13.109375" style="2" customWidth="1"/>
    <col min="15110" max="15110" width="3.6640625" style="2" customWidth="1"/>
    <col min="15111" max="15111" width="1.6640625" style="2" customWidth="1"/>
    <col min="15112" max="15112" width="8.5546875" style="2" customWidth="1"/>
    <col min="15113" max="15113" width="0.88671875" style="2" customWidth="1"/>
    <col min="15114" max="15115" width="7.77734375" style="2" customWidth="1"/>
    <col min="15116" max="15360" width="9.109375" style="2" customWidth="1"/>
    <col min="15361" max="15361" width="4.109375" style="2" customWidth="1"/>
    <col min="15362" max="15362" width="30" style="2" customWidth="1"/>
    <col min="15363" max="15363" width="9.5546875" style="2" customWidth="1"/>
    <col min="15364" max="15364" width="13" style="2" customWidth="1"/>
    <col min="15365" max="15365" width="13.109375" style="2" customWidth="1"/>
    <col min="15366" max="15366" width="3.6640625" style="2" customWidth="1"/>
    <col min="15367" max="15367" width="1.6640625" style="2" customWidth="1"/>
    <col min="15368" max="15368" width="8.5546875" style="2" customWidth="1"/>
    <col min="15369" max="15369" width="0.88671875" style="2" customWidth="1"/>
    <col min="15370" max="15371" width="7.77734375" style="2" customWidth="1"/>
    <col min="15372" max="15616" width="9.109375" style="2" customWidth="1"/>
    <col min="15617" max="15617" width="4.109375" style="2" customWidth="1"/>
    <col min="15618" max="15618" width="30" style="2" customWidth="1"/>
    <col min="15619" max="15619" width="9.5546875" style="2" customWidth="1"/>
    <col min="15620" max="15620" width="13" style="2" customWidth="1"/>
    <col min="15621" max="15621" width="13.109375" style="2" customWidth="1"/>
    <col min="15622" max="15622" width="3.6640625" style="2" customWidth="1"/>
    <col min="15623" max="15623" width="1.6640625" style="2" customWidth="1"/>
    <col min="15624" max="15624" width="8.5546875" style="2" customWidth="1"/>
    <col min="15625" max="15625" width="0.88671875" style="2" customWidth="1"/>
    <col min="15626" max="15627" width="7.77734375" style="2" customWidth="1"/>
    <col min="15628" max="15872" width="9.109375" style="2" customWidth="1"/>
    <col min="15873" max="15873" width="4.109375" style="2" customWidth="1"/>
    <col min="15874" max="15874" width="30" style="2" customWidth="1"/>
    <col min="15875" max="15875" width="9.5546875" style="2" customWidth="1"/>
    <col min="15876" max="15876" width="13" style="2" customWidth="1"/>
    <col min="15877" max="15877" width="13.109375" style="2" customWidth="1"/>
    <col min="15878" max="15878" width="3.6640625" style="2" customWidth="1"/>
    <col min="15879" max="15879" width="1.6640625" style="2" customWidth="1"/>
    <col min="15880" max="15880" width="8.5546875" style="2" customWidth="1"/>
    <col min="15881" max="15881" width="0.88671875" style="2" customWidth="1"/>
    <col min="15882" max="15883" width="7.77734375" style="2" customWidth="1"/>
    <col min="15884" max="16128" width="9.109375" style="2" customWidth="1"/>
    <col min="16129" max="16129" width="4.109375" style="2" customWidth="1"/>
    <col min="16130" max="16130" width="30" style="2" customWidth="1"/>
    <col min="16131" max="16131" width="9.5546875" style="2" customWidth="1"/>
    <col min="16132" max="16132" width="13" style="2" customWidth="1"/>
    <col min="16133" max="16133" width="13.109375" style="2" customWidth="1"/>
    <col min="16134" max="16134" width="3.6640625" style="2" customWidth="1"/>
    <col min="16135" max="16135" width="1.6640625" style="2" customWidth="1"/>
    <col min="16136" max="16136" width="8.5546875" style="2" customWidth="1"/>
    <col min="16137" max="16137" width="0.88671875" style="2" customWidth="1"/>
    <col min="16138" max="16139" width="7.77734375" style="2" customWidth="1"/>
    <col min="16140" max="16384" width="9.109375" style="2" customWidth="1"/>
  </cols>
  <sheetData>
    <row r="1" spans="1:16" ht="6.75" customHeight="1" x14ac:dyDescent="0.25">
      <c r="A1" s="9"/>
      <c r="B1" s="9"/>
      <c r="C1" s="9"/>
      <c r="D1" s="9"/>
      <c r="E1" s="9"/>
      <c r="F1" s="9"/>
      <c r="G1" s="9"/>
      <c r="H1" s="9"/>
      <c r="I1" s="9"/>
      <c r="J1" s="9"/>
      <c r="K1" s="10"/>
      <c r="L1" s="11"/>
      <c r="M1" s="10"/>
      <c r="N1" s="12"/>
    </row>
    <row r="2" spans="1:16" ht="17.399999999999999" customHeight="1" x14ac:dyDescent="0.25">
      <c r="B2" s="4"/>
      <c r="C2" s="4" t="s">
        <v>73</v>
      </c>
      <c r="D2" s="13" t="s">
        <v>74</v>
      </c>
      <c r="E2" s="207" t="s">
        <v>73</v>
      </c>
      <c r="F2" s="202"/>
      <c r="G2" s="4"/>
      <c r="H2" s="109">
        <v>6</v>
      </c>
      <c r="I2" s="203" t="s">
        <v>75</v>
      </c>
      <c r="J2" s="202"/>
      <c r="K2" s="204"/>
      <c r="L2" s="205"/>
      <c r="M2" s="204"/>
      <c r="N2" s="206"/>
    </row>
    <row r="3" spans="1:16" ht="19.2" customHeight="1" x14ac:dyDescent="0.3">
      <c r="B3" s="14"/>
      <c r="C3" s="108">
        <v>46388</v>
      </c>
      <c r="D3" s="15" t="s">
        <v>76</v>
      </c>
      <c r="E3" s="214">
        <v>46752</v>
      </c>
      <c r="F3" s="209"/>
      <c r="G3" s="4"/>
      <c r="H3" s="109">
        <v>138</v>
      </c>
      <c r="I3" s="210" t="s">
        <v>77</v>
      </c>
      <c r="J3" s="202"/>
      <c r="K3" s="204"/>
      <c r="L3" s="205"/>
      <c r="M3" s="204"/>
      <c r="N3" s="206"/>
    </row>
    <row r="4" spans="1:16" ht="6.3" customHeight="1" x14ac:dyDescent="0.25">
      <c r="A4" s="16"/>
      <c r="B4" s="16"/>
      <c r="C4" s="16"/>
      <c r="D4" s="16"/>
      <c r="E4" s="16"/>
      <c r="F4" s="16"/>
      <c r="G4" s="16"/>
      <c r="H4" s="3"/>
      <c r="I4" s="16"/>
      <c r="J4" s="16"/>
      <c r="K4" s="17"/>
      <c r="L4" s="18"/>
      <c r="M4" s="17"/>
      <c r="N4" s="19"/>
    </row>
    <row r="5" spans="1:16" s="6" customFormat="1" ht="60" customHeight="1" x14ac:dyDescent="0.3">
      <c r="A5" s="17"/>
      <c r="B5" s="17"/>
      <c r="C5" s="208" t="s">
        <v>78</v>
      </c>
      <c r="D5" s="209"/>
      <c r="E5" s="10" t="s">
        <v>79</v>
      </c>
      <c r="F5" s="10" t="s">
        <v>80</v>
      </c>
      <c r="G5" s="17"/>
      <c r="H5" s="10" t="s">
        <v>81</v>
      </c>
      <c r="I5" s="90" t="s">
        <v>82</v>
      </c>
      <c r="J5" s="10"/>
      <c r="K5" s="11" t="s">
        <v>83</v>
      </c>
      <c r="L5" s="10" t="s">
        <v>84</v>
      </c>
      <c r="M5" s="90" t="s">
        <v>85</v>
      </c>
      <c r="N5" s="20" t="s">
        <v>86</v>
      </c>
      <c r="O5" s="20" t="s">
        <v>87</v>
      </c>
      <c r="P5" s="6" t="s">
        <v>88</v>
      </c>
    </row>
    <row r="6" spans="1:16" ht="6.3" customHeight="1" x14ac:dyDescent="0.25">
      <c r="A6" s="21"/>
      <c r="B6" s="21"/>
      <c r="C6" s="21"/>
      <c r="D6" s="22"/>
      <c r="E6" s="167"/>
      <c r="F6" s="16"/>
      <c r="G6" s="16"/>
      <c r="H6" s="17"/>
      <c r="I6" s="16"/>
      <c r="J6" s="10"/>
      <c r="K6" s="18"/>
      <c r="L6" s="16"/>
      <c r="M6" s="16"/>
      <c r="N6" s="19"/>
      <c r="O6" s="19"/>
    </row>
    <row r="7" spans="1:16" s="6" customFormat="1" ht="15" customHeight="1" thickBot="1" x14ac:dyDescent="0.35">
      <c r="A7" s="123"/>
      <c r="B7" s="124"/>
      <c r="C7" s="125" t="s">
        <v>89</v>
      </c>
      <c r="D7" s="26"/>
      <c r="E7" s="168"/>
      <c r="F7" s="25">
        <f>IF(OR($H$3="",$H$3=0),"",F11/$H$3/4)</f>
        <v>1330.0036231884058</v>
      </c>
      <c r="G7" s="26"/>
      <c r="H7" s="25"/>
      <c r="I7" s="126">
        <f>IF(OR($H$3="",$H$3=0),"",I11/$H$3/4)</f>
        <v>1417.2375905797103</v>
      </c>
      <c r="J7" s="27"/>
      <c r="K7" s="28"/>
      <c r="L7" s="126">
        <f>IF(OR($H$3="",$H$3=0),"",L11/$H$3/4)</f>
        <v>1420.5890398550725</v>
      </c>
      <c r="M7" s="29">
        <f>IF(N7="","",N7/3)</f>
        <v>30.19513888888893</v>
      </c>
      <c r="N7" s="29">
        <f>IF(OR(F7="",L7=""),"",L7-F7)</f>
        <v>90.585416666666788</v>
      </c>
      <c r="O7" s="29">
        <f>IF(N7="","",N7*4)</f>
        <v>362.34166666666715</v>
      </c>
      <c r="P7" s="30">
        <f>IF(OR(F7="",F7=0),"",L7/F7-100%)</f>
        <v>6.8109150296528753E-2</v>
      </c>
    </row>
    <row r="8" spans="1:16" ht="6.3" customHeight="1" x14ac:dyDescent="0.25">
      <c r="B8" s="31"/>
      <c r="C8" s="32"/>
      <c r="D8" s="16"/>
      <c r="E8" s="169"/>
      <c r="F8" s="33"/>
      <c r="G8" s="17"/>
      <c r="H8" s="34"/>
      <c r="I8" s="35"/>
      <c r="J8" s="36"/>
      <c r="K8" s="37"/>
      <c r="L8" s="35"/>
      <c r="M8" s="38"/>
      <c r="N8" s="38"/>
    </row>
    <row r="9" spans="1:16" ht="15" customHeight="1" thickBot="1" x14ac:dyDescent="0.3">
      <c r="B9" s="39" t="s">
        <v>90</v>
      </c>
      <c r="C9" s="39" t="s">
        <v>91</v>
      </c>
      <c r="D9" s="40"/>
      <c r="E9" s="170"/>
      <c r="F9" s="24"/>
      <c r="G9" s="24"/>
      <c r="H9" s="26"/>
      <c r="I9" s="24"/>
      <c r="J9" s="27"/>
      <c r="K9" s="42"/>
      <c r="L9" s="24"/>
      <c r="M9" s="19"/>
      <c r="N9" s="19"/>
    </row>
    <row r="10" spans="1:16" ht="5.7" customHeight="1" x14ac:dyDescent="0.25">
      <c r="A10" s="21"/>
      <c r="B10" s="21"/>
      <c r="C10" s="21"/>
      <c r="D10" s="22"/>
      <c r="E10" s="167"/>
      <c r="F10" s="16"/>
      <c r="G10" s="16"/>
      <c r="H10" s="17"/>
      <c r="I10" s="16"/>
      <c r="J10" s="10"/>
      <c r="K10" s="18"/>
      <c r="L10" s="16"/>
      <c r="M10" s="19"/>
      <c r="N10" s="19"/>
    </row>
    <row r="11" spans="1:16" ht="14.4" customHeight="1" x14ac:dyDescent="0.25">
      <c r="A11" s="16" t="s">
        <v>92</v>
      </c>
      <c r="B11" s="110">
        <v>1000</v>
      </c>
      <c r="C11" s="111" t="s">
        <v>93</v>
      </c>
      <c r="D11" s="112">
        <v>367080</v>
      </c>
      <c r="E11" s="171">
        <f t="shared" ref="E11:E20" si="0">IF(OR($H$2="",$H$2&lt;=0,$H$2&gt;12),"",(D11/$H$2)*12)</f>
        <v>734160</v>
      </c>
      <c r="F11" s="118">
        <v>734162</v>
      </c>
      <c r="G11" s="11"/>
      <c r="H11" s="11"/>
      <c r="I11" s="43">
        <f>I86-SUM(I12:I20)</f>
        <v>782315.15</v>
      </c>
      <c r="J11" s="10"/>
      <c r="K11" s="11" t="s">
        <v>92</v>
      </c>
      <c r="L11" s="88">
        <f>L86-SUM(L12:L20)</f>
        <v>784165.15</v>
      </c>
      <c r="M11" s="20"/>
      <c r="N11" s="44"/>
    </row>
    <row r="12" spans="1:16" ht="14.4" customHeight="1" x14ac:dyDescent="0.25">
      <c r="A12" s="16"/>
      <c r="B12" s="110">
        <v>1010</v>
      </c>
      <c r="C12" s="111" t="s">
        <v>94</v>
      </c>
      <c r="D12" s="112">
        <v>4999.9799999999996</v>
      </c>
      <c r="E12" s="43">
        <f t="shared" si="0"/>
        <v>9999.9599999999991</v>
      </c>
      <c r="F12" s="118">
        <v>10000</v>
      </c>
      <c r="G12" s="11"/>
      <c r="H12" s="11"/>
      <c r="I12" s="177">
        <v>0</v>
      </c>
      <c r="J12" s="10"/>
      <c r="K12" s="11"/>
      <c r="L12" s="88">
        <f t="shared" ref="L12:L20" si="1">I12</f>
        <v>0</v>
      </c>
      <c r="M12" s="20"/>
      <c r="N12" s="44"/>
    </row>
    <row r="13" spans="1:16" ht="14.4" customHeight="1" x14ac:dyDescent="0.25">
      <c r="A13" s="45"/>
      <c r="B13" s="110">
        <v>1020</v>
      </c>
      <c r="C13" s="111" t="s">
        <v>95</v>
      </c>
      <c r="D13" s="112">
        <v>200</v>
      </c>
      <c r="E13" s="43">
        <f t="shared" si="0"/>
        <v>400</v>
      </c>
      <c r="F13" s="119">
        <v>0</v>
      </c>
      <c r="G13" s="11"/>
      <c r="H13" s="11"/>
      <c r="I13" s="46">
        <v>0</v>
      </c>
      <c r="J13" s="10"/>
      <c r="K13" s="11"/>
      <c r="L13" s="89">
        <f t="shared" si="1"/>
        <v>0</v>
      </c>
      <c r="M13" s="20"/>
      <c r="N13" s="44"/>
    </row>
    <row r="14" spans="1:16" ht="14.4" customHeight="1" x14ac:dyDescent="0.25">
      <c r="A14" s="16"/>
      <c r="B14" s="110">
        <v>1030</v>
      </c>
      <c r="C14" s="111" t="s">
        <v>96</v>
      </c>
      <c r="D14" s="112">
        <v>493.28</v>
      </c>
      <c r="E14" s="43">
        <f t="shared" si="0"/>
        <v>986.56</v>
      </c>
      <c r="F14" s="119">
        <v>0</v>
      </c>
      <c r="G14" s="11"/>
      <c r="H14" s="11"/>
      <c r="I14" s="46">
        <v>0</v>
      </c>
      <c r="J14" s="10"/>
      <c r="K14" s="11"/>
      <c r="L14" s="89">
        <f t="shared" si="1"/>
        <v>0</v>
      </c>
      <c r="M14" s="20"/>
      <c r="N14" s="44"/>
    </row>
    <row r="15" spans="1:16" ht="14.4" customHeight="1" x14ac:dyDescent="0.25">
      <c r="A15" s="45"/>
      <c r="B15" s="110">
        <v>1040</v>
      </c>
      <c r="C15" s="111" t="s">
        <v>97</v>
      </c>
      <c r="D15" s="112">
        <v>573.85</v>
      </c>
      <c r="E15" s="43">
        <f t="shared" si="0"/>
        <v>1147.7</v>
      </c>
      <c r="F15" s="119">
        <v>0</v>
      </c>
      <c r="G15" s="11"/>
      <c r="H15" s="11"/>
      <c r="I15" s="46">
        <v>0</v>
      </c>
      <c r="J15" s="10"/>
      <c r="K15" s="11"/>
      <c r="L15" s="89">
        <f t="shared" si="1"/>
        <v>0</v>
      </c>
      <c r="M15" s="20"/>
      <c r="N15" s="44"/>
    </row>
    <row r="16" spans="1:16" ht="14.4" customHeight="1" x14ac:dyDescent="0.25">
      <c r="A16" s="45"/>
      <c r="B16" s="110">
        <v>1050</v>
      </c>
      <c r="C16" s="127" t="s">
        <v>98</v>
      </c>
      <c r="D16" s="112">
        <v>573.85</v>
      </c>
      <c r="E16" s="43">
        <f t="shared" si="0"/>
        <v>1147.7</v>
      </c>
      <c r="F16" s="119">
        <v>0</v>
      </c>
      <c r="G16" s="11"/>
      <c r="H16" s="11"/>
      <c r="I16" s="46">
        <v>0</v>
      </c>
      <c r="J16" s="10"/>
      <c r="K16" s="11"/>
      <c r="L16" s="89">
        <f t="shared" si="1"/>
        <v>0</v>
      </c>
      <c r="M16" s="20"/>
      <c r="N16" s="44"/>
    </row>
    <row r="17" spans="1:14" ht="14.4" customHeight="1" x14ac:dyDescent="0.25">
      <c r="A17" s="45"/>
      <c r="B17" s="110">
        <v>1060</v>
      </c>
      <c r="C17" s="111"/>
      <c r="D17" s="112"/>
      <c r="E17" s="43">
        <f t="shared" si="0"/>
        <v>0</v>
      </c>
      <c r="F17" s="119">
        <v>0</v>
      </c>
      <c r="G17" s="11"/>
      <c r="H17" s="11"/>
      <c r="I17" s="46">
        <v>0</v>
      </c>
      <c r="J17" s="10"/>
      <c r="K17" s="11"/>
      <c r="L17" s="89">
        <f t="shared" si="1"/>
        <v>0</v>
      </c>
      <c r="M17" s="20"/>
      <c r="N17" s="44"/>
    </row>
    <row r="18" spans="1:14" ht="14.4" customHeight="1" x14ac:dyDescent="0.25">
      <c r="A18" s="45"/>
      <c r="B18" s="110">
        <v>1070</v>
      </c>
      <c r="C18" s="111"/>
      <c r="D18" s="112"/>
      <c r="E18" s="43">
        <f t="shared" si="0"/>
        <v>0</v>
      </c>
      <c r="F18" s="119">
        <v>0</v>
      </c>
      <c r="G18" s="11"/>
      <c r="H18" s="11"/>
      <c r="I18" s="46">
        <v>0</v>
      </c>
      <c r="J18" s="10"/>
      <c r="K18" s="11"/>
      <c r="L18" s="89">
        <f t="shared" si="1"/>
        <v>0</v>
      </c>
      <c r="M18" s="20"/>
      <c r="N18" s="44"/>
    </row>
    <row r="19" spans="1:14" ht="14.4" customHeight="1" x14ac:dyDescent="0.25">
      <c r="A19" s="45"/>
      <c r="B19" s="110">
        <v>1080</v>
      </c>
      <c r="C19" s="111"/>
      <c r="D19" s="112"/>
      <c r="E19" s="43">
        <f t="shared" si="0"/>
        <v>0</v>
      </c>
      <c r="F19" s="119">
        <v>0</v>
      </c>
      <c r="G19" s="11"/>
      <c r="H19" s="11"/>
      <c r="I19" s="46">
        <v>0</v>
      </c>
      <c r="J19" s="10"/>
      <c r="K19" s="11"/>
      <c r="L19" s="89">
        <f t="shared" si="1"/>
        <v>0</v>
      </c>
      <c r="M19" s="20"/>
      <c r="N19" s="44"/>
    </row>
    <row r="20" spans="1:14" ht="14.4" customHeight="1" x14ac:dyDescent="0.25">
      <c r="A20" s="16"/>
      <c r="B20" s="110">
        <v>1090</v>
      </c>
      <c r="C20" s="111"/>
      <c r="D20" s="112"/>
      <c r="E20" s="43">
        <f t="shared" si="0"/>
        <v>0</v>
      </c>
      <c r="F20" s="119">
        <v>0</v>
      </c>
      <c r="G20" s="11"/>
      <c r="H20" s="11"/>
      <c r="I20" s="46">
        <v>0</v>
      </c>
      <c r="J20" s="10"/>
      <c r="K20" s="11"/>
      <c r="L20" s="89">
        <f t="shared" si="1"/>
        <v>0</v>
      </c>
      <c r="M20" s="20"/>
      <c r="N20" s="44"/>
    </row>
    <row r="21" spans="1:14" ht="6.3" customHeight="1" x14ac:dyDescent="0.25">
      <c r="A21" s="16"/>
      <c r="B21" s="16"/>
      <c r="C21" s="16"/>
      <c r="D21" s="16"/>
      <c r="E21" s="16"/>
      <c r="F21" s="16"/>
      <c r="G21" s="16"/>
      <c r="H21" s="11"/>
      <c r="I21" s="16"/>
      <c r="J21" s="10"/>
      <c r="K21" s="18"/>
      <c r="L21" s="16"/>
      <c r="M21" s="19"/>
      <c r="N21" s="19"/>
    </row>
    <row r="22" spans="1:14" ht="14.4" customHeight="1" x14ac:dyDescent="0.25">
      <c r="A22" s="21" t="s">
        <v>92</v>
      </c>
      <c r="B22" s="21"/>
      <c r="C22" s="47" t="s">
        <v>99</v>
      </c>
      <c r="D22" s="48">
        <f>SUM(D11:D20)</f>
        <v>373920.95999999996</v>
      </c>
      <c r="E22" s="48">
        <f>SUM(E11:E20)</f>
        <v>747841.91999999993</v>
      </c>
      <c r="F22" s="48">
        <f>SUM(F11:F20)</f>
        <v>744162</v>
      </c>
      <c r="G22" s="11"/>
      <c r="H22" s="11"/>
      <c r="I22" s="48">
        <f>SUM(I11:I20)</f>
        <v>782315.15</v>
      </c>
      <c r="J22" s="10"/>
      <c r="K22" s="11"/>
      <c r="L22" s="48">
        <f>SUM(L11:L20)</f>
        <v>784165.15</v>
      </c>
      <c r="M22" s="20">
        <f>IF(OR(F22="",F22=0),"",L22/F22-100%)</f>
        <v>5.3755969802274262E-2</v>
      </c>
      <c r="N22" s="44"/>
    </row>
    <row r="23" spans="1:14" ht="4.8" customHeight="1" thickBot="1" x14ac:dyDescent="0.3">
      <c r="A23" s="16"/>
      <c r="B23" s="16"/>
      <c r="C23" s="16"/>
      <c r="D23" s="16"/>
      <c r="E23" s="16"/>
      <c r="F23" s="16"/>
      <c r="G23" s="16"/>
      <c r="H23" s="11"/>
      <c r="I23" s="16"/>
      <c r="J23" s="10"/>
      <c r="K23" s="18"/>
      <c r="L23" s="16"/>
      <c r="M23" s="19"/>
      <c r="N23" s="19"/>
    </row>
    <row r="24" spans="1:14" ht="15" customHeight="1" thickBot="1" x14ac:dyDescent="0.3">
      <c r="A24" s="49" t="s">
        <v>92</v>
      </c>
      <c r="B24" s="50" t="s">
        <v>90</v>
      </c>
      <c r="C24" s="50" t="s">
        <v>100</v>
      </c>
      <c r="D24" s="51"/>
      <c r="E24" s="52"/>
      <c r="F24" s="53"/>
      <c r="G24" s="53"/>
      <c r="H24" s="54"/>
      <c r="I24" s="53"/>
      <c r="J24" s="55"/>
      <c r="K24" s="56"/>
      <c r="L24" s="53"/>
      <c r="M24" s="19"/>
      <c r="N24" s="19"/>
    </row>
    <row r="25" spans="1:14" ht="6.75" customHeight="1" x14ac:dyDescent="0.25">
      <c r="A25" s="21"/>
      <c r="B25" s="21"/>
      <c r="C25" s="21"/>
      <c r="D25" s="22"/>
      <c r="E25" s="57"/>
      <c r="F25" s="16"/>
      <c r="G25" s="16"/>
      <c r="H25" s="11"/>
      <c r="I25" s="16"/>
      <c r="J25" s="10"/>
      <c r="K25" s="18"/>
      <c r="L25" s="16"/>
      <c r="M25" s="19"/>
      <c r="N25" s="19"/>
    </row>
    <row r="26" spans="1:14" ht="14.4" customHeight="1" x14ac:dyDescent="0.25">
      <c r="A26" s="21" t="s">
        <v>92</v>
      </c>
      <c r="B26" s="110">
        <v>5000</v>
      </c>
      <c r="C26" s="111" t="s">
        <v>101</v>
      </c>
      <c r="D26" s="166">
        <v>0</v>
      </c>
      <c r="E26" s="43">
        <f t="shared" ref="E26:E35" si="2">IF(OR($H$2="",$H$2&lt;=0,$H$2&gt;12),"",(D26/$H$2)*12)</f>
        <v>0</v>
      </c>
      <c r="F26" s="120">
        <v>6050</v>
      </c>
      <c r="G26" s="11"/>
      <c r="H26" s="113">
        <v>0.03</v>
      </c>
      <c r="I26" s="43">
        <f t="shared" ref="I26:I35" si="3">F26+(F26*H26)</f>
        <v>6231.5</v>
      </c>
      <c r="J26" s="10"/>
      <c r="K26" s="114">
        <v>1000</v>
      </c>
      <c r="L26" s="88">
        <f t="shared" ref="L26:L35" si="4">I26+K26</f>
        <v>7231.5</v>
      </c>
      <c r="M26" s="20">
        <f t="shared" ref="M26:M35" si="5">IF(OR(F26="",F26=0),"",L26/F26-100%)</f>
        <v>0.19528925619834703</v>
      </c>
      <c r="N26" s="59">
        <f t="shared" ref="N26:N35" si="6">L26-F26</f>
        <v>1181.5</v>
      </c>
    </row>
    <row r="27" spans="1:14" ht="14.4" customHeight="1" x14ac:dyDescent="0.25">
      <c r="A27" s="45"/>
      <c r="B27" s="110">
        <v>5010</v>
      </c>
      <c r="C27" s="111" t="s">
        <v>102</v>
      </c>
      <c r="D27" s="112">
        <v>261</v>
      </c>
      <c r="E27" s="43">
        <f t="shared" si="2"/>
        <v>522</v>
      </c>
      <c r="F27" s="120">
        <v>4535</v>
      </c>
      <c r="G27" s="11"/>
      <c r="H27" s="113">
        <v>0.03</v>
      </c>
      <c r="I27" s="43">
        <f t="shared" si="3"/>
        <v>4671.05</v>
      </c>
      <c r="J27" s="10"/>
      <c r="K27" s="114">
        <v>0</v>
      </c>
      <c r="L27" s="88">
        <f t="shared" si="4"/>
        <v>4671.05</v>
      </c>
      <c r="M27" s="20">
        <f t="shared" si="5"/>
        <v>3.0000000000000027E-2</v>
      </c>
      <c r="N27" s="59">
        <f t="shared" si="6"/>
        <v>136.05000000000018</v>
      </c>
    </row>
    <row r="28" spans="1:14" ht="14.4" customHeight="1" x14ac:dyDescent="0.25">
      <c r="A28" s="16"/>
      <c r="B28" s="110">
        <v>5020</v>
      </c>
      <c r="C28" s="111" t="s">
        <v>103</v>
      </c>
      <c r="D28" s="112">
        <v>23162.22</v>
      </c>
      <c r="E28" s="43">
        <f t="shared" si="2"/>
        <v>46324.44</v>
      </c>
      <c r="F28" s="120">
        <v>46961</v>
      </c>
      <c r="G28" s="11"/>
      <c r="H28" s="113">
        <v>0.03</v>
      </c>
      <c r="I28" s="43">
        <f t="shared" si="3"/>
        <v>48369.83</v>
      </c>
      <c r="J28" s="10"/>
      <c r="K28" s="114">
        <v>0</v>
      </c>
      <c r="L28" s="88">
        <f t="shared" si="4"/>
        <v>48369.83</v>
      </c>
      <c r="M28" s="20">
        <f t="shared" si="5"/>
        <v>3.0000000000000027E-2</v>
      </c>
      <c r="N28" s="59">
        <f t="shared" si="6"/>
        <v>1408.8300000000017</v>
      </c>
    </row>
    <row r="29" spans="1:14" ht="14.4" customHeight="1" x14ac:dyDescent="0.25">
      <c r="A29" s="45"/>
      <c r="B29" s="110">
        <v>5030</v>
      </c>
      <c r="C29" s="111" t="s">
        <v>104</v>
      </c>
      <c r="D29" s="112">
        <v>1341.65</v>
      </c>
      <c r="E29" s="43">
        <f t="shared" si="2"/>
        <v>2683.3</v>
      </c>
      <c r="F29" s="120">
        <v>2000</v>
      </c>
      <c r="G29" s="11"/>
      <c r="H29" s="113">
        <v>0</v>
      </c>
      <c r="I29" s="43">
        <f t="shared" si="3"/>
        <v>2000</v>
      </c>
      <c r="J29" s="10"/>
      <c r="K29" s="114">
        <v>0</v>
      </c>
      <c r="L29" s="88">
        <f t="shared" si="4"/>
        <v>2000</v>
      </c>
      <c r="M29" s="20">
        <f t="shared" si="5"/>
        <v>0</v>
      </c>
      <c r="N29" s="59">
        <f t="shared" si="6"/>
        <v>0</v>
      </c>
    </row>
    <row r="30" spans="1:14" ht="14.4" customHeight="1" x14ac:dyDescent="0.25">
      <c r="A30" s="16"/>
      <c r="B30" s="110">
        <v>5040</v>
      </c>
      <c r="C30" s="111" t="s">
        <v>105</v>
      </c>
      <c r="D30" s="112">
        <v>0</v>
      </c>
      <c r="E30" s="43">
        <f t="shared" si="2"/>
        <v>0</v>
      </c>
      <c r="F30" s="120">
        <v>1000</v>
      </c>
      <c r="G30" s="11"/>
      <c r="H30" s="113">
        <v>0</v>
      </c>
      <c r="I30" s="43">
        <f t="shared" si="3"/>
        <v>1000</v>
      </c>
      <c r="J30" s="10"/>
      <c r="K30" s="114">
        <v>0</v>
      </c>
      <c r="L30" s="88">
        <f t="shared" si="4"/>
        <v>1000</v>
      </c>
      <c r="M30" s="20">
        <f t="shared" si="5"/>
        <v>0</v>
      </c>
      <c r="N30" s="59">
        <f t="shared" si="6"/>
        <v>0</v>
      </c>
    </row>
    <row r="31" spans="1:14" ht="14.4" customHeight="1" x14ac:dyDescent="0.25">
      <c r="A31" s="45"/>
      <c r="B31" s="110">
        <v>5050</v>
      </c>
      <c r="C31" s="111" t="s">
        <v>106</v>
      </c>
      <c r="D31" s="112">
        <v>151766.26</v>
      </c>
      <c r="E31" s="43">
        <f t="shared" si="2"/>
        <v>303532.52</v>
      </c>
      <c r="F31" s="120">
        <v>349231</v>
      </c>
      <c r="G31" s="11"/>
      <c r="H31" s="113">
        <v>0.04</v>
      </c>
      <c r="I31" s="43">
        <f t="shared" si="3"/>
        <v>363200.24</v>
      </c>
      <c r="J31" s="10"/>
      <c r="K31" s="114">
        <v>0</v>
      </c>
      <c r="L31" s="88">
        <f t="shared" si="4"/>
        <v>363200.24</v>
      </c>
      <c r="M31" s="20">
        <f t="shared" si="5"/>
        <v>4.0000000000000036E-2</v>
      </c>
      <c r="N31" s="59">
        <f t="shared" si="6"/>
        <v>13969.239999999991</v>
      </c>
    </row>
    <row r="32" spans="1:14" ht="14.4" customHeight="1" x14ac:dyDescent="0.25">
      <c r="A32" s="16"/>
      <c r="B32" s="110">
        <v>5060</v>
      </c>
      <c r="C32" s="111" t="s">
        <v>107</v>
      </c>
      <c r="D32" s="112">
        <v>2205.19</v>
      </c>
      <c r="E32" s="43">
        <f t="shared" si="2"/>
        <v>4410.38</v>
      </c>
      <c r="F32" s="120">
        <v>4542</v>
      </c>
      <c r="G32" s="11"/>
      <c r="H32" s="113">
        <v>0.03</v>
      </c>
      <c r="I32" s="43">
        <f t="shared" si="3"/>
        <v>4678.26</v>
      </c>
      <c r="J32" s="10"/>
      <c r="K32" s="114">
        <v>0</v>
      </c>
      <c r="L32" s="88">
        <f t="shared" si="4"/>
        <v>4678.26</v>
      </c>
      <c r="M32" s="20">
        <f t="shared" si="5"/>
        <v>3.0000000000000027E-2</v>
      </c>
      <c r="N32" s="59">
        <f t="shared" si="6"/>
        <v>136.26000000000022</v>
      </c>
    </row>
    <row r="33" spans="1:14" ht="14.4" customHeight="1" x14ac:dyDescent="0.25">
      <c r="A33" s="45"/>
      <c r="B33" s="110">
        <v>5070</v>
      </c>
      <c r="C33" s="111" t="s">
        <v>108</v>
      </c>
      <c r="D33" s="112">
        <v>61.25</v>
      </c>
      <c r="E33" s="43">
        <f t="shared" si="2"/>
        <v>122.5</v>
      </c>
      <c r="F33" s="120">
        <v>64</v>
      </c>
      <c r="G33" s="11"/>
      <c r="H33" s="113">
        <v>0</v>
      </c>
      <c r="I33" s="43">
        <f t="shared" si="3"/>
        <v>64</v>
      </c>
      <c r="J33" s="10"/>
      <c r="K33" s="114">
        <v>0</v>
      </c>
      <c r="L33" s="88">
        <f t="shared" si="4"/>
        <v>64</v>
      </c>
      <c r="M33" s="20">
        <f t="shared" si="5"/>
        <v>0</v>
      </c>
      <c r="N33" s="59">
        <f t="shared" si="6"/>
        <v>0</v>
      </c>
    </row>
    <row r="34" spans="1:14" ht="14.4" customHeight="1" x14ac:dyDescent="0.25">
      <c r="A34" s="45"/>
      <c r="B34" s="110">
        <v>5080</v>
      </c>
      <c r="C34" s="111" t="s">
        <v>109</v>
      </c>
      <c r="D34" s="112">
        <v>25</v>
      </c>
      <c r="E34" s="43">
        <f t="shared" si="2"/>
        <v>50</v>
      </c>
      <c r="F34" s="120">
        <v>50</v>
      </c>
      <c r="G34" s="11"/>
      <c r="H34" s="113">
        <v>0</v>
      </c>
      <c r="I34" s="43">
        <f t="shared" si="3"/>
        <v>50</v>
      </c>
      <c r="J34" s="10"/>
      <c r="K34" s="114">
        <v>0</v>
      </c>
      <c r="L34" s="88">
        <f t="shared" si="4"/>
        <v>50</v>
      </c>
      <c r="M34" s="20">
        <f t="shared" si="5"/>
        <v>0</v>
      </c>
      <c r="N34" s="59">
        <f t="shared" si="6"/>
        <v>0</v>
      </c>
    </row>
    <row r="35" spans="1:14" ht="14.4" customHeight="1" x14ac:dyDescent="0.25">
      <c r="A35" s="45"/>
      <c r="B35" s="110">
        <v>5090</v>
      </c>
      <c r="C35" s="111" t="s">
        <v>110</v>
      </c>
      <c r="D35" s="112">
        <v>1000</v>
      </c>
      <c r="E35" s="43">
        <f t="shared" si="2"/>
        <v>2000</v>
      </c>
      <c r="F35" s="120">
        <v>2000</v>
      </c>
      <c r="G35" s="11"/>
      <c r="H35" s="113">
        <v>0</v>
      </c>
      <c r="I35" s="43">
        <f t="shared" si="3"/>
        <v>2000</v>
      </c>
      <c r="J35" s="10"/>
      <c r="K35" s="114">
        <v>0</v>
      </c>
      <c r="L35" s="88">
        <f t="shared" si="4"/>
        <v>2000</v>
      </c>
      <c r="M35" s="20">
        <f t="shared" si="5"/>
        <v>0</v>
      </c>
      <c r="N35" s="59">
        <f t="shared" si="6"/>
        <v>0</v>
      </c>
    </row>
    <row r="36" spans="1:14" ht="6.3" customHeight="1" x14ac:dyDescent="0.25">
      <c r="A36" s="16"/>
      <c r="B36" s="16"/>
      <c r="C36" s="16"/>
      <c r="D36" s="16"/>
      <c r="E36" s="16"/>
      <c r="F36" s="16"/>
      <c r="G36" s="16"/>
      <c r="H36" s="11"/>
      <c r="I36" s="16"/>
      <c r="J36" s="10"/>
      <c r="K36" s="18"/>
      <c r="L36" s="16"/>
      <c r="M36" s="19"/>
      <c r="N36" s="19"/>
    </row>
    <row r="37" spans="1:14" ht="14.4" customHeight="1" x14ac:dyDescent="0.25">
      <c r="A37" s="21" t="s">
        <v>92</v>
      </c>
      <c r="B37" s="21"/>
      <c r="C37" s="47" t="s">
        <v>111</v>
      </c>
      <c r="D37" s="48">
        <f>SUM(D26:D35)</f>
        <v>179822.57</v>
      </c>
      <c r="E37" s="48">
        <f>SUM(E26:E35)</f>
        <v>359645.14</v>
      </c>
      <c r="F37" s="48">
        <f>SUM(F26:F35)</f>
        <v>416433</v>
      </c>
      <c r="G37" s="11"/>
      <c r="H37" s="20"/>
      <c r="I37" s="48">
        <f>SUM(I26:I35)</f>
        <v>432264.88</v>
      </c>
      <c r="J37" s="10"/>
      <c r="K37" s="11"/>
      <c r="L37" s="48">
        <f>SUM(L26:L35)</f>
        <v>433264.88</v>
      </c>
      <c r="M37" s="20">
        <f>IF(OR(F37="",F37=0),"",L37/F37-100%)</f>
        <v>4.0419179075625644E-2</v>
      </c>
      <c r="N37" s="2"/>
    </row>
    <row r="38" spans="1:14" ht="6.3" customHeight="1" thickBot="1" x14ac:dyDescent="0.3">
      <c r="A38" s="21"/>
      <c r="B38" s="21"/>
      <c r="C38" s="21"/>
      <c r="D38" s="43"/>
      <c r="E38" s="43"/>
      <c r="F38" s="43"/>
      <c r="G38" s="11"/>
      <c r="H38" s="20"/>
      <c r="I38" s="43"/>
      <c r="J38" s="10"/>
      <c r="K38" s="11"/>
      <c r="L38" s="43"/>
      <c r="M38" s="20"/>
      <c r="N38" s="2"/>
    </row>
    <row r="39" spans="1:14" ht="15" customHeight="1" thickBot="1" x14ac:dyDescent="0.3">
      <c r="B39" s="50" t="s">
        <v>90</v>
      </c>
      <c r="C39" s="50" t="s">
        <v>112</v>
      </c>
      <c r="D39" s="60"/>
      <c r="E39" s="53"/>
      <c r="F39" s="53"/>
      <c r="G39" s="61"/>
      <c r="H39" s="62"/>
      <c r="I39" s="53"/>
      <c r="J39" s="55"/>
      <c r="K39" s="56"/>
      <c r="L39" s="53"/>
      <c r="M39" s="19"/>
      <c r="N39" s="2"/>
    </row>
    <row r="40" spans="1:14" ht="6.3" customHeight="1" x14ac:dyDescent="0.25">
      <c r="A40" s="21"/>
      <c r="B40" s="21"/>
      <c r="C40" s="21"/>
      <c r="D40" s="21"/>
      <c r="E40" s="16"/>
      <c r="F40" s="16"/>
      <c r="G40" s="11"/>
      <c r="H40" s="20"/>
      <c r="I40" s="16"/>
      <c r="J40" s="10"/>
      <c r="K40" s="18"/>
      <c r="L40" s="16"/>
      <c r="M40" s="19"/>
      <c r="N40" s="2"/>
    </row>
    <row r="41" spans="1:14" ht="14.4" customHeight="1" x14ac:dyDescent="0.25">
      <c r="A41" s="16"/>
      <c r="B41" s="121">
        <v>6000</v>
      </c>
      <c r="C41" s="111" t="s">
        <v>113</v>
      </c>
      <c r="D41" s="112">
        <v>3005.37</v>
      </c>
      <c r="E41" s="43">
        <f t="shared" ref="E41:E47" si="7">IF(OR($H$2="",$H$2&lt;=0,$H$2&gt;12),"",(D41/$H$2)*12)</f>
        <v>6010.74</v>
      </c>
      <c r="F41" s="120">
        <v>5699</v>
      </c>
      <c r="G41" s="11"/>
      <c r="H41" s="113">
        <v>0.1</v>
      </c>
      <c r="I41" s="43">
        <f t="shared" ref="I41:I47" si="8">F41+(F41*H41)</f>
        <v>6268.9</v>
      </c>
      <c r="J41" s="10"/>
      <c r="K41" s="114">
        <v>0</v>
      </c>
      <c r="L41" s="88">
        <f t="shared" ref="L41:L47" si="9">I41+K41</f>
        <v>6268.9</v>
      </c>
      <c r="M41" s="20">
        <f t="shared" ref="M41:M47" si="10">IF(OR(F41="",F41=0),"",L41/F41-100%)</f>
        <v>9.9999999999999867E-2</v>
      </c>
      <c r="N41" s="59">
        <f t="shared" ref="N41:N47" si="11">L41-F41</f>
        <v>569.89999999999964</v>
      </c>
    </row>
    <row r="42" spans="1:14" ht="14.4" customHeight="1" x14ac:dyDescent="0.25">
      <c r="A42" s="16"/>
      <c r="B42" s="121">
        <v>6010</v>
      </c>
      <c r="C42" s="111" t="s">
        <v>114</v>
      </c>
      <c r="D42" s="112">
        <v>1000</v>
      </c>
      <c r="E42" s="43">
        <f t="shared" si="7"/>
        <v>2000</v>
      </c>
      <c r="F42" s="120">
        <v>2000</v>
      </c>
      <c r="G42" s="11"/>
      <c r="H42" s="113">
        <v>0.04</v>
      </c>
      <c r="I42" s="43">
        <f t="shared" si="8"/>
        <v>2080</v>
      </c>
      <c r="J42" s="10"/>
      <c r="K42" s="114">
        <v>0</v>
      </c>
      <c r="L42" s="88">
        <f t="shared" si="9"/>
        <v>2080</v>
      </c>
      <c r="M42" s="20">
        <f t="shared" si="10"/>
        <v>4.0000000000000036E-2</v>
      </c>
      <c r="N42" s="59">
        <f t="shared" si="11"/>
        <v>80</v>
      </c>
    </row>
    <row r="43" spans="1:14" ht="14.4" customHeight="1" x14ac:dyDescent="0.25">
      <c r="A43" s="16"/>
      <c r="B43" s="121">
        <v>6020</v>
      </c>
      <c r="C43" s="111" t="s">
        <v>115</v>
      </c>
      <c r="D43" s="112">
        <v>700</v>
      </c>
      <c r="E43" s="43">
        <f t="shared" si="7"/>
        <v>1400</v>
      </c>
      <c r="F43" s="120">
        <v>1400</v>
      </c>
      <c r="G43" s="11"/>
      <c r="H43" s="113">
        <v>0.04</v>
      </c>
      <c r="I43" s="43">
        <f t="shared" si="8"/>
        <v>1456</v>
      </c>
      <c r="J43" s="10"/>
      <c r="K43" s="114">
        <v>0</v>
      </c>
      <c r="L43" s="88">
        <f t="shared" si="9"/>
        <v>1456</v>
      </c>
      <c r="M43" s="20">
        <f t="shared" si="10"/>
        <v>4.0000000000000036E-2</v>
      </c>
      <c r="N43" s="59">
        <f t="shared" si="11"/>
        <v>56</v>
      </c>
    </row>
    <row r="44" spans="1:14" ht="14.4" customHeight="1" x14ac:dyDescent="0.25">
      <c r="A44" s="16"/>
      <c r="B44" s="121">
        <v>6030</v>
      </c>
      <c r="C44" s="111" t="s">
        <v>116</v>
      </c>
      <c r="D44" s="112">
        <v>77677.38</v>
      </c>
      <c r="E44" s="43">
        <f t="shared" si="7"/>
        <v>155354.76</v>
      </c>
      <c r="F44" s="120">
        <v>158780</v>
      </c>
      <c r="G44" s="11"/>
      <c r="H44" s="113">
        <v>0.04</v>
      </c>
      <c r="I44" s="43">
        <f t="shared" si="8"/>
        <v>165131.20000000001</v>
      </c>
      <c r="J44" s="10"/>
      <c r="K44" s="114">
        <v>0</v>
      </c>
      <c r="L44" s="88">
        <f t="shared" si="9"/>
        <v>165131.20000000001</v>
      </c>
      <c r="M44" s="20">
        <f t="shared" si="10"/>
        <v>4.0000000000000036E-2</v>
      </c>
      <c r="N44" s="59">
        <f t="shared" si="11"/>
        <v>6351.2000000000116</v>
      </c>
    </row>
    <row r="45" spans="1:14" ht="14.4" customHeight="1" x14ac:dyDescent="0.25">
      <c r="A45" s="16"/>
      <c r="B45" s="121"/>
      <c r="C45" s="111"/>
      <c r="D45" s="112"/>
      <c r="E45" s="43">
        <f t="shared" si="7"/>
        <v>0</v>
      </c>
      <c r="F45" s="120"/>
      <c r="G45" s="11"/>
      <c r="H45" s="113">
        <v>0.04</v>
      </c>
      <c r="I45" s="43">
        <f t="shared" si="8"/>
        <v>0</v>
      </c>
      <c r="J45" s="10"/>
      <c r="K45" s="114">
        <v>0</v>
      </c>
      <c r="L45" s="88">
        <f t="shared" si="9"/>
        <v>0</v>
      </c>
      <c r="M45" s="20" t="str">
        <f t="shared" si="10"/>
        <v/>
      </c>
      <c r="N45" s="59">
        <f t="shared" si="11"/>
        <v>0</v>
      </c>
    </row>
    <row r="46" spans="1:14" ht="14.4" customHeight="1" x14ac:dyDescent="0.25">
      <c r="A46" s="16"/>
      <c r="B46" s="121"/>
      <c r="C46" s="111"/>
      <c r="D46" s="112"/>
      <c r="E46" s="43">
        <f t="shared" si="7"/>
        <v>0</v>
      </c>
      <c r="F46" s="120"/>
      <c r="G46" s="11"/>
      <c r="H46" s="113">
        <v>0.04</v>
      </c>
      <c r="I46" s="43">
        <f t="shared" si="8"/>
        <v>0</v>
      </c>
      <c r="J46" s="10"/>
      <c r="K46" s="114">
        <v>0</v>
      </c>
      <c r="L46" s="88">
        <f t="shared" si="9"/>
        <v>0</v>
      </c>
      <c r="M46" s="20" t="str">
        <f t="shared" si="10"/>
        <v/>
      </c>
      <c r="N46" s="59">
        <f t="shared" si="11"/>
        <v>0</v>
      </c>
    </row>
    <row r="47" spans="1:14" ht="14.4" customHeight="1" x14ac:dyDescent="0.25">
      <c r="A47" s="16"/>
      <c r="B47" s="121"/>
      <c r="C47" s="111"/>
      <c r="D47" s="112"/>
      <c r="E47" s="43">
        <f t="shared" si="7"/>
        <v>0</v>
      </c>
      <c r="F47" s="120"/>
      <c r="G47" s="11"/>
      <c r="H47" s="113">
        <v>0.04</v>
      </c>
      <c r="I47" s="43">
        <f t="shared" si="8"/>
        <v>0</v>
      </c>
      <c r="J47" s="10"/>
      <c r="K47" s="114">
        <v>0</v>
      </c>
      <c r="L47" s="88">
        <f t="shared" si="9"/>
        <v>0</v>
      </c>
      <c r="M47" s="20" t="str">
        <f t="shared" si="10"/>
        <v/>
      </c>
      <c r="N47" s="59">
        <f t="shared" si="11"/>
        <v>0</v>
      </c>
    </row>
    <row r="48" spans="1:14" ht="6.3" customHeight="1" x14ac:dyDescent="0.25">
      <c r="A48" s="21"/>
      <c r="B48" s="21"/>
      <c r="C48" s="21"/>
      <c r="D48" s="43"/>
      <c r="E48" s="43"/>
      <c r="F48" s="43"/>
      <c r="G48" s="11"/>
      <c r="H48" s="20"/>
      <c r="I48" s="43"/>
      <c r="J48" s="10"/>
      <c r="K48" s="11"/>
      <c r="L48" s="43"/>
      <c r="M48" s="20"/>
      <c r="N48" s="2"/>
    </row>
    <row r="49" spans="1:14" ht="14.4" customHeight="1" x14ac:dyDescent="0.25">
      <c r="A49" s="21" t="s">
        <v>92</v>
      </c>
      <c r="B49" s="21"/>
      <c r="C49" s="47" t="s">
        <v>117</v>
      </c>
      <c r="D49" s="64">
        <f>SUM(D41:D47)</f>
        <v>82382.75</v>
      </c>
      <c r="E49" s="64">
        <f>SUM(E41:E47)</f>
        <v>164765.5</v>
      </c>
      <c r="F49" s="64">
        <f>SUM(F41:F47)</f>
        <v>167879</v>
      </c>
      <c r="G49" s="11"/>
      <c r="H49" s="20"/>
      <c r="I49" s="64">
        <f>SUM(I41:I47)</f>
        <v>174936.1</v>
      </c>
      <c r="J49" s="10"/>
      <c r="K49" s="11"/>
      <c r="L49" s="64">
        <f>SUM(L41:L47)</f>
        <v>174936.1</v>
      </c>
      <c r="M49" s="20">
        <f>IF(OR(F49="",F49=0),"",L49/F49-100%)</f>
        <v>4.2036824141197027E-2</v>
      </c>
      <c r="N49" s="2"/>
    </row>
    <row r="50" spans="1:14" ht="12" customHeight="1" thickBot="1" x14ac:dyDescent="0.3">
      <c r="A50" s="21"/>
      <c r="B50" s="21"/>
      <c r="C50" s="21"/>
      <c r="D50" s="43"/>
      <c r="E50" s="43"/>
      <c r="F50" s="43"/>
      <c r="G50" s="11"/>
      <c r="H50" s="20"/>
      <c r="I50" s="43"/>
      <c r="J50" s="10"/>
      <c r="K50" s="11"/>
      <c r="L50" s="43"/>
      <c r="M50" s="20"/>
      <c r="N50" s="2"/>
    </row>
    <row r="51" spans="1:14" ht="15" customHeight="1" thickBot="1" x14ac:dyDescent="0.3">
      <c r="A51" s="49" t="s">
        <v>92</v>
      </c>
      <c r="B51" s="96" t="s">
        <v>90</v>
      </c>
      <c r="C51" s="96" t="s">
        <v>118</v>
      </c>
      <c r="D51" s="97"/>
      <c r="E51" s="98"/>
      <c r="F51" s="99"/>
      <c r="G51" s="100"/>
      <c r="H51" s="101"/>
      <c r="I51" s="102"/>
      <c r="J51" s="96"/>
      <c r="K51" s="103"/>
      <c r="L51" s="102"/>
      <c r="M51" s="19"/>
      <c r="N51" s="2"/>
    </row>
    <row r="52" spans="1:14" ht="6.3" customHeight="1" x14ac:dyDescent="0.25">
      <c r="A52" s="21"/>
      <c r="B52" s="21"/>
      <c r="C52" s="21"/>
      <c r="D52" s="21"/>
      <c r="E52" s="57"/>
      <c r="F52" s="63"/>
      <c r="G52" s="11"/>
      <c r="H52" s="20"/>
      <c r="I52" s="16"/>
      <c r="J52" s="10"/>
      <c r="K52" s="18"/>
      <c r="L52" s="16"/>
      <c r="M52" s="19"/>
      <c r="N52" s="2"/>
    </row>
    <row r="53" spans="1:14" ht="14.4" customHeight="1" x14ac:dyDescent="0.25">
      <c r="A53" s="16" t="s">
        <v>92</v>
      </c>
      <c r="B53" s="110">
        <v>7010</v>
      </c>
      <c r="C53" s="111" t="s">
        <v>119</v>
      </c>
      <c r="D53" s="112">
        <v>37500</v>
      </c>
      <c r="E53" s="43">
        <f t="shared" ref="E53:E70" si="12">IF(OR($H$2="",$H$2&lt;=0,$H$2&gt;12),"",(D53/$H$2)*12)</f>
        <v>75000</v>
      </c>
      <c r="F53" s="118">
        <v>73233</v>
      </c>
      <c r="G53" s="11"/>
      <c r="H53" s="113">
        <v>0.04</v>
      </c>
      <c r="I53" s="43">
        <f t="shared" ref="I53:I70" si="13">F53+(F53*H53)</f>
        <v>76162.320000000007</v>
      </c>
      <c r="J53" s="10"/>
      <c r="K53" s="114">
        <v>0</v>
      </c>
      <c r="L53" s="88">
        <f t="shared" ref="L53:L70" si="14">I53+K53</f>
        <v>76162.320000000007</v>
      </c>
      <c r="M53" s="20">
        <f t="shared" ref="M53:M70" si="15">IF(OR(F53="",F53=0),"",L53/F53-100%)</f>
        <v>4.0000000000000036E-2</v>
      </c>
      <c r="N53" s="59">
        <f t="shared" ref="N53:N70" si="16">L53-F53</f>
        <v>2929.320000000007</v>
      </c>
    </row>
    <row r="54" spans="1:14" ht="14.4" customHeight="1" x14ac:dyDescent="0.25">
      <c r="A54" s="45"/>
      <c r="B54" s="110">
        <v>7015</v>
      </c>
      <c r="C54" s="111" t="s">
        <v>120</v>
      </c>
      <c r="D54" s="112">
        <v>2700</v>
      </c>
      <c r="E54" s="43">
        <f t="shared" si="12"/>
        <v>5400</v>
      </c>
      <c r="F54" s="118">
        <v>5562</v>
      </c>
      <c r="G54" s="11"/>
      <c r="H54" s="113">
        <v>0.05</v>
      </c>
      <c r="I54" s="43">
        <f t="shared" si="13"/>
        <v>5840.1</v>
      </c>
      <c r="J54" s="10"/>
      <c r="K54" s="114">
        <v>0</v>
      </c>
      <c r="L54" s="88">
        <f t="shared" si="14"/>
        <v>5840.1</v>
      </c>
      <c r="M54" s="20">
        <f t="shared" si="15"/>
        <v>5.0000000000000044E-2</v>
      </c>
      <c r="N54" s="59">
        <f t="shared" si="16"/>
        <v>278.10000000000036</v>
      </c>
    </row>
    <row r="55" spans="1:14" ht="14.4" customHeight="1" x14ac:dyDescent="0.25">
      <c r="A55" s="16"/>
      <c r="B55" s="110">
        <v>7020</v>
      </c>
      <c r="C55" s="111" t="s">
        <v>121</v>
      </c>
      <c r="D55" s="112">
        <v>9429.85</v>
      </c>
      <c r="E55" s="43">
        <f t="shared" si="12"/>
        <v>18859.7</v>
      </c>
      <c r="F55" s="118">
        <v>19715</v>
      </c>
      <c r="G55" s="11"/>
      <c r="H55" s="113">
        <v>0.03</v>
      </c>
      <c r="I55" s="43">
        <f t="shared" si="13"/>
        <v>20306.45</v>
      </c>
      <c r="J55" s="10"/>
      <c r="K55" s="114">
        <v>0</v>
      </c>
      <c r="L55" s="88">
        <f t="shared" si="14"/>
        <v>20306.45</v>
      </c>
      <c r="M55" s="20">
        <f t="shared" si="15"/>
        <v>3.0000000000000027E-2</v>
      </c>
      <c r="N55" s="59">
        <f t="shared" si="16"/>
        <v>591.45000000000073</v>
      </c>
    </row>
    <row r="56" spans="1:14" ht="14.4" customHeight="1" x14ac:dyDescent="0.25">
      <c r="A56" s="45"/>
      <c r="B56" s="110">
        <v>7025</v>
      </c>
      <c r="C56" s="111" t="s">
        <v>122</v>
      </c>
      <c r="D56" s="112">
        <v>1161</v>
      </c>
      <c r="E56" s="43">
        <f t="shared" si="12"/>
        <v>2322</v>
      </c>
      <c r="F56" s="118">
        <v>1550</v>
      </c>
      <c r="G56" s="11"/>
      <c r="H56" s="113">
        <v>0.15</v>
      </c>
      <c r="I56" s="43">
        <f t="shared" si="13"/>
        <v>1782.5</v>
      </c>
      <c r="J56" s="10"/>
      <c r="K56" s="114">
        <v>0</v>
      </c>
      <c r="L56" s="88">
        <f t="shared" si="14"/>
        <v>1782.5</v>
      </c>
      <c r="M56" s="20">
        <f t="shared" si="15"/>
        <v>0.14999999999999991</v>
      </c>
      <c r="N56" s="59">
        <f t="shared" si="16"/>
        <v>232.5</v>
      </c>
    </row>
    <row r="57" spans="1:14" ht="14.4" customHeight="1" x14ac:dyDescent="0.25">
      <c r="A57" s="45"/>
      <c r="B57" s="110">
        <v>7030</v>
      </c>
      <c r="C57" s="111" t="s">
        <v>123</v>
      </c>
      <c r="D57" s="112">
        <v>10974</v>
      </c>
      <c r="E57" s="43">
        <f t="shared" si="12"/>
        <v>21948</v>
      </c>
      <c r="F57" s="118">
        <v>6000</v>
      </c>
      <c r="G57" s="11"/>
      <c r="H57" s="113">
        <v>0.2</v>
      </c>
      <c r="I57" s="43">
        <f t="shared" si="13"/>
        <v>7200</v>
      </c>
      <c r="J57" s="10"/>
      <c r="K57" s="114">
        <v>0</v>
      </c>
      <c r="L57" s="88">
        <f t="shared" si="14"/>
        <v>7200</v>
      </c>
      <c r="M57" s="20">
        <f t="shared" si="15"/>
        <v>0.19999999999999996</v>
      </c>
      <c r="N57" s="59">
        <f t="shared" si="16"/>
        <v>1200</v>
      </c>
    </row>
    <row r="58" spans="1:14" ht="14.4" customHeight="1" x14ac:dyDescent="0.25">
      <c r="A58" s="45"/>
      <c r="B58" s="110">
        <v>7035</v>
      </c>
      <c r="C58" s="111" t="s">
        <v>124</v>
      </c>
      <c r="D58" s="112">
        <v>0</v>
      </c>
      <c r="E58" s="43">
        <f t="shared" si="12"/>
        <v>0</v>
      </c>
      <c r="F58" s="118">
        <v>2000</v>
      </c>
      <c r="G58" s="11"/>
      <c r="H58" s="113">
        <v>0</v>
      </c>
      <c r="I58" s="43">
        <f t="shared" si="13"/>
        <v>2000</v>
      </c>
      <c r="J58" s="10"/>
      <c r="K58" s="114">
        <v>0</v>
      </c>
      <c r="L58" s="88">
        <f t="shared" si="14"/>
        <v>2000</v>
      </c>
      <c r="M58" s="20">
        <f t="shared" si="15"/>
        <v>0</v>
      </c>
      <c r="N58" s="59">
        <f t="shared" si="16"/>
        <v>0</v>
      </c>
    </row>
    <row r="59" spans="1:14" ht="15.6" customHeight="1" x14ac:dyDescent="0.25">
      <c r="A59" s="45"/>
      <c r="B59" s="110">
        <v>7040</v>
      </c>
      <c r="C59" s="115" t="s">
        <v>125</v>
      </c>
      <c r="D59" s="112">
        <v>0</v>
      </c>
      <c r="E59" s="43">
        <f t="shared" si="12"/>
        <v>0</v>
      </c>
      <c r="F59" s="118">
        <v>10080</v>
      </c>
      <c r="G59" s="11"/>
      <c r="H59" s="113">
        <v>0.35</v>
      </c>
      <c r="I59" s="43">
        <f t="shared" si="13"/>
        <v>13608</v>
      </c>
      <c r="J59" s="10"/>
      <c r="K59" s="114">
        <v>0</v>
      </c>
      <c r="L59" s="88">
        <f t="shared" si="14"/>
        <v>13608</v>
      </c>
      <c r="M59" s="20">
        <f t="shared" si="15"/>
        <v>0.35000000000000009</v>
      </c>
      <c r="N59" s="59">
        <f t="shared" si="16"/>
        <v>3528</v>
      </c>
    </row>
    <row r="60" spans="1:14" ht="15.6" customHeight="1" x14ac:dyDescent="0.25">
      <c r="A60" s="45"/>
      <c r="B60" s="110">
        <v>7045</v>
      </c>
      <c r="C60" s="111" t="s">
        <v>126</v>
      </c>
      <c r="D60" s="112">
        <v>4200</v>
      </c>
      <c r="E60" s="43">
        <f t="shared" si="12"/>
        <v>8400</v>
      </c>
      <c r="F60" s="118">
        <v>7560</v>
      </c>
      <c r="G60" s="11"/>
      <c r="H60" s="113">
        <v>0.03</v>
      </c>
      <c r="I60" s="43">
        <f t="shared" si="13"/>
        <v>7786.8</v>
      </c>
      <c r="J60" s="10"/>
      <c r="K60" s="114">
        <v>0</v>
      </c>
      <c r="L60" s="88">
        <f t="shared" si="14"/>
        <v>7786.8</v>
      </c>
      <c r="M60" s="20">
        <f t="shared" si="15"/>
        <v>3.0000000000000027E-2</v>
      </c>
      <c r="N60" s="59">
        <f t="shared" si="16"/>
        <v>226.80000000000018</v>
      </c>
    </row>
    <row r="61" spans="1:14" ht="14.4" customHeight="1" x14ac:dyDescent="0.25">
      <c r="A61" s="45"/>
      <c r="B61" s="110">
        <v>7050</v>
      </c>
      <c r="C61" s="111" t="s">
        <v>127</v>
      </c>
      <c r="D61" s="112">
        <v>13800</v>
      </c>
      <c r="E61" s="43">
        <f t="shared" si="12"/>
        <v>27600</v>
      </c>
      <c r="F61" s="118">
        <v>27600</v>
      </c>
      <c r="G61" s="11"/>
      <c r="H61" s="113">
        <v>0.03</v>
      </c>
      <c r="I61" s="43">
        <f t="shared" si="13"/>
        <v>28428</v>
      </c>
      <c r="J61" s="10"/>
      <c r="K61" s="114">
        <v>0</v>
      </c>
      <c r="L61" s="88">
        <f t="shared" si="14"/>
        <v>28428</v>
      </c>
      <c r="M61" s="20">
        <f t="shared" si="15"/>
        <v>3.0000000000000027E-2</v>
      </c>
      <c r="N61" s="59">
        <f t="shared" si="16"/>
        <v>828</v>
      </c>
    </row>
    <row r="62" spans="1:14" ht="14.4" customHeight="1" x14ac:dyDescent="0.25">
      <c r="A62" s="45"/>
      <c r="B62" s="110">
        <v>7055</v>
      </c>
      <c r="C62" s="111" t="s">
        <v>128</v>
      </c>
      <c r="D62" s="112">
        <v>0</v>
      </c>
      <c r="E62" s="43">
        <f t="shared" si="12"/>
        <v>0</v>
      </c>
      <c r="F62" s="118">
        <v>2000</v>
      </c>
      <c r="G62" s="11"/>
      <c r="H62" s="113">
        <v>0</v>
      </c>
      <c r="I62" s="43">
        <f t="shared" si="13"/>
        <v>2000</v>
      </c>
      <c r="J62" s="10"/>
      <c r="K62" s="114">
        <v>850</v>
      </c>
      <c r="L62" s="88">
        <f t="shared" si="14"/>
        <v>2850</v>
      </c>
      <c r="M62" s="20">
        <f t="shared" si="15"/>
        <v>0.42500000000000004</v>
      </c>
      <c r="N62" s="59">
        <f t="shared" si="16"/>
        <v>850</v>
      </c>
    </row>
    <row r="63" spans="1:14" ht="14.4" customHeight="1" x14ac:dyDescent="0.25">
      <c r="A63" s="45"/>
      <c r="B63" s="110">
        <v>7060</v>
      </c>
      <c r="C63" s="111" t="s">
        <v>129</v>
      </c>
      <c r="D63" s="112"/>
      <c r="E63" s="43">
        <f t="shared" si="12"/>
        <v>0</v>
      </c>
      <c r="F63" s="118">
        <v>0</v>
      </c>
      <c r="G63" s="11"/>
      <c r="H63" s="113">
        <v>0</v>
      </c>
      <c r="I63" s="43">
        <f t="shared" si="13"/>
        <v>0</v>
      </c>
      <c r="J63" s="10"/>
      <c r="K63" s="114">
        <v>0</v>
      </c>
      <c r="L63" s="88">
        <f t="shared" si="14"/>
        <v>0</v>
      </c>
      <c r="M63" s="20" t="str">
        <f t="shared" si="15"/>
        <v/>
      </c>
      <c r="N63" s="59">
        <f t="shared" si="16"/>
        <v>0</v>
      </c>
    </row>
    <row r="64" spans="1:14" ht="14.4" customHeight="1" x14ac:dyDescent="0.25">
      <c r="A64" s="45"/>
      <c r="B64" s="110">
        <v>7065</v>
      </c>
      <c r="C64" s="111" t="s">
        <v>129</v>
      </c>
      <c r="D64" s="112"/>
      <c r="E64" s="43">
        <f t="shared" si="12"/>
        <v>0</v>
      </c>
      <c r="F64" s="118">
        <v>0</v>
      </c>
      <c r="G64" s="11"/>
      <c r="H64" s="113">
        <v>0</v>
      </c>
      <c r="I64" s="43">
        <f t="shared" si="13"/>
        <v>0</v>
      </c>
      <c r="J64" s="10"/>
      <c r="K64" s="114">
        <v>0</v>
      </c>
      <c r="L64" s="88">
        <f t="shared" si="14"/>
        <v>0</v>
      </c>
      <c r="M64" s="20" t="str">
        <f t="shared" si="15"/>
        <v/>
      </c>
      <c r="N64" s="59">
        <f t="shared" si="16"/>
        <v>0</v>
      </c>
    </row>
    <row r="65" spans="1:14" ht="14.4" customHeight="1" x14ac:dyDescent="0.25">
      <c r="A65" s="16"/>
      <c r="B65" s="110">
        <v>7070</v>
      </c>
      <c r="C65" s="111" t="s">
        <v>129</v>
      </c>
      <c r="D65" s="112"/>
      <c r="E65" s="43">
        <f t="shared" si="12"/>
        <v>0</v>
      </c>
      <c r="F65" s="118">
        <v>0</v>
      </c>
      <c r="G65" s="11"/>
      <c r="H65" s="113">
        <v>0</v>
      </c>
      <c r="I65" s="43">
        <f t="shared" si="13"/>
        <v>0</v>
      </c>
      <c r="J65" s="10"/>
      <c r="K65" s="114">
        <v>0</v>
      </c>
      <c r="L65" s="88">
        <f t="shared" si="14"/>
        <v>0</v>
      </c>
      <c r="M65" s="20" t="str">
        <f t="shared" si="15"/>
        <v/>
      </c>
      <c r="N65" s="59">
        <f t="shared" si="16"/>
        <v>0</v>
      </c>
    </row>
    <row r="66" spans="1:14" ht="14.4" customHeight="1" x14ac:dyDescent="0.25">
      <c r="A66" s="45"/>
      <c r="B66" s="110">
        <v>7075</v>
      </c>
      <c r="C66" s="111" t="s">
        <v>129</v>
      </c>
      <c r="D66" s="112"/>
      <c r="E66" s="43">
        <f t="shared" si="12"/>
        <v>0</v>
      </c>
      <c r="F66" s="118">
        <v>0</v>
      </c>
      <c r="G66" s="11"/>
      <c r="H66" s="113">
        <v>0</v>
      </c>
      <c r="I66" s="43">
        <f t="shared" si="13"/>
        <v>0</v>
      </c>
      <c r="J66" s="10"/>
      <c r="K66" s="114">
        <v>0</v>
      </c>
      <c r="L66" s="88">
        <f t="shared" si="14"/>
        <v>0</v>
      </c>
      <c r="M66" s="20" t="str">
        <f t="shared" si="15"/>
        <v/>
      </c>
      <c r="N66" s="59">
        <f t="shared" si="16"/>
        <v>0</v>
      </c>
    </row>
    <row r="67" spans="1:14" ht="14.4" customHeight="1" x14ac:dyDescent="0.25">
      <c r="A67" s="16"/>
      <c r="B67" s="110">
        <v>7080</v>
      </c>
      <c r="C67" s="115" t="s">
        <v>129</v>
      </c>
      <c r="D67" s="112"/>
      <c r="E67" s="43">
        <f t="shared" si="12"/>
        <v>0</v>
      </c>
      <c r="F67" s="118">
        <v>0</v>
      </c>
      <c r="G67" s="11"/>
      <c r="H67" s="113">
        <v>0</v>
      </c>
      <c r="I67" s="43">
        <f t="shared" si="13"/>
        <v>0</v>
      </c>
      <c r="J67" s="10"/>
      <c r="K67" s="114">
        <v>0</v>
      </c>
      <c r="L67" s="88">
        <f t="shared" si="14"/>
        <v>0</v>
      </c>
      <c r="M67" s="20" t="str">
        <f t="shared" si="15"/>
        <v/>
      </c>
      <c r="N67" s="59">
        <f t="shared" si="16"/>
        <v>0</v>
      </c>
    </row>
    <row r="68" spans="1:14" ht="14.4" customHeight="1" x14ac:dyDescent="0.25">
      <c r="A68" s="45"/>
      <c r="B68" s="110">
        <v>7085</v>
      </c>
      <c r="C68" s="111" t="s">
        <v>129</v>
      </c>
      <c r="D68" s="112"/>
      <c r="E68" s="43">
        <f t="shared" si="12"/>
        <v>0</v>
      </c>
      <c r="F68" s="118">
        <v>0</v>
      </c>
      <c r="G68" s="11"/>
      <c r="H68" s="113">
        <v>0</v>
      </c>
      <c r="I68" s="43">
        <f t="shared" si="13"/>
        <v>0</v>
      </c>
      <c r="J68" s="10"/>
      <c r="K68" s="114">
        <v>0</v>
      </c>
      <c r="L68" s="88">
        <f t="shared" si="14"/>
        <v>0</v>
      </c>
      <c r="M68" s="20" t="str">
        <f t="shared" si="15"/>
        <v/>
      </c>
      <c r="N68" s="59">
        <f t="shared" si="16"/>
        <v>0</v>
      </c>
    </row>
    <row r="69" spans="1:14" ht="14.4" customHeight="1" x14ac:dyDescent="0.25">
      <c r="A69" s="16"/>
      <c r="B69" s="110">
        <v>7090</v>
      </c>
      <c r="C69" s="111" t="s">
        <v>129</v>
      </c>
      <c r="D69" s="112"/>
      <c r="E69" s="43">
        <f t="shared" si="12"/>
        <v>0</v>
      </c>
      <c r="F69" s="118">
        <v>0</v>
      </c>
      <c r="G69" s="11"/>
      <c r="H69" s="113">
        <v>0</v>
      </c>
      <c r="I69" s="43">
        <f t="shared" si="13"/>
        <v>0</v>
      </c>
      <c r="J69" s="10"/>
      <c r="K69" s="114">
        <v>0</v>
      </c>
      <c r="L69" s="88">
        <f t="shared" si="14"/>
        <v>0</v>
      </c>
      <c r="M69" s="20" t="str">
        <f t="shared" si="15"/>
        <v/>
      </c>
      <c r="N69" s="59">
        <f t="shared" si="16"/>
        <v>0</v>
      </c>
    </row>
    <row r="70" spans="1:14" ht="14.4" customHeight="1" x14ac:dyDescent="0.25">
      <c r="A70" s="45"/>
      <c r="B70" s="110">
        <v>7095</v>
      </c>
      <c r="C70" s="111" t="s">
        <v>129</v>
      </c>
      <c r="D70" s="112">
        <v>0</v>
      </c>
      <c r="E70" s="43">
        <f t="shared" si="12"/>
        <v>0</v>
      </c>
      <c r="F70" s="118">
        <v>0</v>
      </c>
      <c r="G70" s="11"/>
      <c r="H70" s="113">
        <v>0</v>
      </c>
      <c r="I70" s="43">
        <f t="shared" si="13"/>
        <v>0</v>
      </c>
      <c r="J70" s="10"/>
      <c r="K70" s="114">
        <v>0</v>
      </c>
      <c r="L70" s="88">
        <f t="shared" si="14"/>
        <v>0</v>
      </c>
      <c r="M70" s="20" t="str">
        <f t="shared" si="15"/>
        <v/>
      </c>
      <c r="N70" s="59">
        <f t="shared" si="16"/>
        <v>0</v>
      </c>
    </row>
    <row r="71" spans="1:14" ht="6.3" customHeight="1" x14ac:dyDescent="0.25">
      <c r="A71" s="21"/>
      <c r="B71" s="21"/>
      <c r="C71" s="21"/>
      <c r="D71" s="43"/>
      <c r="E71" s="43"/>
      <c r="F71" s="43"/>
      <c r="G71" s="11"/>
      <c r="H71" s="20"/>
      <c r="I71" s="43"/>
      <c r="J71" s="10"/>
      <c r="K71" s="11"/>
      <c r="L71" s="43"/>
      <c r="M71" s="20"/>
      <c r="N71" s="2"/>
    </row>
    <row r="72" spans="1:14" ht="14.4" customHeight="1" x14ac:dyDescent="0.25">
      <c r="B72" s="21"/>
      <c r="C72" s="47" t="s">
        <v>130</v>
      </c>
      <c r="D72" s="64">
        <f>SUM(D53:D70)</f>
        <v>79764.850000000006</v>
      </c>
      <c r="E72" s="64">
        <f>SUM(E53:E70)</f>
        <v>159529.70000000001</v>
      </c>
      <c r="F72" s="64">
        <f>SUM(F53:F70)</f>
        <v>155300</v>
      </c>
      <c r="G72" s="11"/>
      <c r="H72" s="20"/>
      <c r="I72" s="64">
        <f>SUM(I53:I70)</f>
        <v>165114.17000000001</v>
      </c>
      <c r="J72" s="10"/>
      <c r="K72" s="11"/>
      <c r="L72" s="64">
        <f>SUM(L53:L70)</f>
        <v>165964.17000000001</v>
      </c>
      <c r="M72" s="20">
        <f>IF(OR(F72="",F72=0),"",L72/F72-100%)</f>
        <v>6.8668190598841106E-2</v>
      </c>
      <c r="N72" s="2"/>
    </row>
    <row r="73" spans="1:14" ht="6.3" customHeight="1" thickBot="1" x14ac:dyDescent="0.3">
      <c r="A73" s="21"/>
      <c r="B73" s="21"/>
      <c r="C73" s="21"/>
      <c r="D73" s="43"/>
      <c r="E73" s="43"/>
      <c r="F73" s="43"/>
      <c r="G73" s="11"/>
      <c r="H73" s="20"/>
      <c r="I73" s="43"/>
      <c r="J73" s="10"/>
      <c r="K73" s="11"/>
      <c r="L73" s="43"/>
      <c r="M73" s="20"/>
      <c r="N73" s="2"/>
    </row>
    <row r="74" spans="1:14" ht="15" customHeight="1" thickBot="1" x14ac:dyDescent="0.3">
      <c r="B74" s="50" t="s">
        <v>90</v>
      </c>
      <c r="C74" s="65" t="s">
        <v>131</v>
      </c>
      <c r="D74" s="66"/>
      <c r="E74" s="53"/>
      <c r="F74" s="53"/>
      <c r="G74" s="61"/>
      <c r="H74" s="62"/>
      <c r="I74" s="53"/>
      <c r="J74" s="55"/>
      <c r="K74" s="61"/>
      <c r="L74" s="53"/>
      <c r="M74" s="20"/>
      <c r="N74" s="2"/>
    </row>
    <row r="75" spans="1:14" ht="6.3" customHeight="1" x14ac:dyDescent="0.25">
      <c r="A75" s="21"/>
      <c r="B75" s="21"/>
      <c r="C75" s="21"/>
      <c r="D75" s="21"/>
      <c r="E75" s="16"/>
      <c r="F75" s="16"/>
      <c r="G75" s="11"/>
      <c r="H75" s="20"/>
      <c r="I75" s="16"/>
      <c r="J75" s="10"/>
      <c r="K75" s="18"/>
      <c r="L75" s="16"/>
      <c r="M75" s="19"/>
      <c r="N75" s="2"/>
    </row>
    <row r="76" spans="1:14" ht="14.4" customHeight="1" x14ac:dyDescent="0.25">
      <c r="A76" s="16"/>
      <c r="B76" s="110">
        <v>9000</v>
      </c>
      <c r="C76" s="111" t="s">
        <v>131</v>
      </c>
      <c r="D76" s="112">
        <v>4999.9799999999996</v>
      </c>
      <c r="E76" s="43">
        <f>IF(OR($H$2="",$H$2&lt;=0,$H$2&gt;12),"",(D76/$H$2)*12)</f>
        <v>9999.9599999999991</v>
      </c>
      <c r="F76" s="166">
        <v>10000</v>
      </c>
      <c r="G76" s="11"/>
      <c r="H76" s="20"/>
      <c r="I76" s="43">
        <f>F76</f>
        <v>10000</v>
      </c>
      <c r="J76" s="10"/>
      <c r="K76" s="114">
        <v>0</v>
      </c>
      <c r="L76" s="58">
        <f>I76+K76</f>
        <v>10000</v>
      </c>
      <c r="M76" s="20">
        <f>IF(OR(F76="",F76=0),"",L76/F76-100%)</f>
        <v>0</v>
      </c>
      <c r="N76" s="59">
        <f>L76-F76</f>
        <v>0</v>
      </c>
    </row>
    <row r="77" spans="1:14" ht="6.75" customHeight="1" x14ac:dyDescent="0.25">
      <c r="A77" s="21"/>
      <c r="B77" s="21"/>
      <c r="C77" s="21"/>
      <c r="D77" s="64"/>
      <c r="E77" s="64"/>
      <c r="F77" s="64"/>
      <c r="G77" s="11"/>
      <c r="H77" s="20"/>
      <c r="I77" s="64"/>
      <c r="J77" s="10"/>
      <c r="K77" s="11"/>
      <c r="L77" s="64" t="s">
        <v>92</v>
      </c>
      <c r="M77" s="20"/>
      <c r="N77" s="2"/>
    </row>
    <row r="78" spans="1:14" ht="14.4" customHeight="1" x14ac:dyDescent="0.25">
      <c r="B78" s="21"/>
      <c r="C78" s="47" t="s">
        <v>132</v>
      </c>
      <c r="D78" s="48">
        <f>SUM(D76)</f>
        <v>4999.9799999999996</v>
      </c>
      <c r="E78" s="43">
        <f>SUM(E76)</f>
        <v>9999.9599999999991</v>
      </c>
      <c r="F78" s="48">
        <f>SUM(F76)</f>
        <v>10000</v>
      </c>
      <c r="G78" s="11"/>
      <c r="H78" s="20"/>
      <c r="I78" s="48">
        <f>SUM(I76)</f>
        <v>10000</v>
      </c>
      <c r="J78" s="10"/>
      <c r="K78" s="11"/>
      <c r="L78" s="48">
        <f>SUM(L76)</f>
        <v>10000</v>
      </c>
      <c r="M78" s="20">
        <f>IF(OR(F78="",F78=0),"",L78/F78-100%)</f>
        <v>0</v>
      </c>
      <c r="N78" s="2"/>
    </row>
    <row r="79" spans="1:14" ht="6.3" customHeight="1" x14ac:dyDescent="0.25">
      <c r="A79" s="21"/>
      <c r="B79" s="21"/>
      <c r="C79" s="21"/>
      <c r="D79" s="64"/>
      <c r="E79" s="64"/>
      <c r="F79" s="64"/>
      <c r="G79" s="11"/>
      <c r="H79" s="20"/>
      <c r="I79" s="64"/>
      <c r="J79" s="10"/>
      <c r="K79" s="11"/>
      <c r="L79" s="64" t="s">
        <v>92</v>
      </c>
      <c r="M79" s="20"/>
      <c r="N79" s="2"/>
    </row>
    <row r="80" spans="1:14" ht="6.3" customHeight="1" thickBot="1" x14ac:dyDescent="0.3">
      <c r="A80" s="21"/>
      <c r="B80" s="21"/>
      <c r="C80" s="21"/>
      <c r="D80" s="43"/>
      <c r="E80" s="43"/>
      <c r="F80" s="43"/>
      <c r="G80" s="11"/>
      <c r="H80" s="20"/>
      <c r="I80" s="43"/>
      <c r="J80" s="10"/>
      <c r="K80" s="11"/>
      <c r="L80" s="43"/>
      <c r="M80" s="20"/>
      <c r="N80" s="2"/>
    </row>
    <row r="81" spans="1:16" ht="15" customHeight="1" thickBot="1" x14ac:dyDescent="0.3">
      <c r="B81" s="67"/>
      <c r="C81" s="50" t="s">
        <v>133</v>
      </c>
      <c r="D81" s="68">
        <f>D37+D49+D72+D78</f>
        <v>346970.15</v>
      </c>
      <c r="E81" s="68">
        <f>E37+E49+E72+E78</f>
        <v>693940.3</v>
      </c>
      <c r="F81" s="68">
        <f>F37+F49+F72+F78</f>
        <v>749612</v>
      </c>
      <c r="G81" s="61"/>
      <c r="H81" s="62"/>
      <c r="I81" s="68">
        <f>I72+I49+I37+I78</f>
        <v>782315.15</v>
      </c>
      <c r="J81" s="55"/>
      <c r="K81" s="61"/>
      <c r="L81" s="68">
        <f>L72+L49+L37+L78</f>
        <v>784165.15</v>
      </c>
      <c r="M81" s="20">
        <f>IF(OR(F81="",F81=0),"",L81/F81-100%)</f>
        <v>4.6094712998191012E-2</v>
      </c>
      <c r="N81" s="69"/>
    </row>
    <row r="82" spans="1:16" ht="6.3" customHeight="1" x14ac:dyDescent="0.25">
      <c r="A82" s="21"/>
      <c r="B82" s="21"/>
      <c r="C82" s="21"/>
      <c r="D82" s="70"/>
      <c r="E82" s="70"/>
      <c r="F82" s="70"/>
      <c r="G82" s="11"/>
      <c r="H82" s="20"/>
      <c r="I82" s="70"/>
      <c r="J82" s="10"/>
      <c r="K82" s="11"/>
      <c r="L82" s="70" t="s">
        <v>92</v>
      </c>
      <c r="M82" s="20"/>
      <c r="N82" s="2"/>
    </row>
    <row r="83" spans="1:16" ht="5.7" customHeight="1" x14ac:dyDescent="0.25">
      <c r="A83" s="21"/>
      <c r="B83" s="21"/>
      <c r="C83" s="21"/>
      <c r="D83" s="70"/>
      <c r="E83" s="70"/>
      <c r="F83" s="70"/>
      <c r="G83" s="11"/>
      <c r="H83" s="20"/>
      <c r="I83" s="70"/>
      <c r="J83" s="10"/>
      <c r="K83" s="11"/>
      <c r="L83" s="70"/>
      <c r="M83" s="20"/>
      <c r="N83" s="2"/>
    </row>
    <row r="84" spans="1:16" ht="14.4" customHeight="1" x14ac:dyDescent="0.25">
      <c r="B84" s="49"/>
      <c r="C84" s="47" t="s">
        <v>99</v>
      </c>
      <c r="D84" s="71">
        <f>D22</f>
        <v>373920.95999999996</v>
      </c>
      <c r="E84" s="71">
        <f>E22</f>
        <v>747841.91999999993</v>
      </c>
      <c r="F84" s="71">
        <f>F22</f>
        <v>744162</v>
      </c>
      <c r="G84" s="11"/>
      <c r="H84" s="20"/>
      <c r="I84" s="71">
        <f>I22</f>
        <v>782315.15</v>
      </c>
      <c r="J84" s="10"/>
      <c r="K84" s="11"/>
      <c r="L84" s="71">
        <f>L22</f>
        <v>784165.15</v>
      </c>
      <c r="M84" s="20">
        <f>IF(OR(F84="",F84=0),"",L84/F84-100%)</f>
        <v>5.3755969802274262E-2</v>
      </c>
      <c r="N84" s="69"/>
    </row>
    <row r="85" spans="1:16" ht="11.55" customHeight="1" x14ac:dyDescent="0.25">
      <c r="B85" s="49"/>
      <c r="C85" s="47"/>
      <c r="D85" s="71"/>
      <c r="E85" s="71"/>
      <c r="F85" s="71"/>
      <c r="G85" s="11"/>
      <c r="H85" s="20"/>
      <c r="I85" s="43"/>
      <c r="J85" s="10"/>
      <c r="K85" s="11"/>
      <c r="L85" s="43"/>
      <c r="M85" s="20"/>
      <c r="N85" s="2"/>
    </row>
    <row r="86" spans="1:16" ht="14.4" customHeight="1" x14ac:dyDescent="0.25">
      <c r="B86" s="49"/>
      <c r="C86" s="47" t="s">
        <v>133</v>
      </c>
      <c r="D86" s="48">
        <f>D81</f>
        <v>346970.15</v>
      </c>
      <c r="E86" s="48">
        <f>E81</f>
        <v>693940.3</v>
      </c>
      <c r="F86" s="48">
        <f>F81</f>
        <v>749612</v>
      </c>
      <c r="G86" s="11"/>
      <c r="H86" s="20"/>
      <c r="I86" s="48">
        <f>I81</f>
        <v>782315.15</v>
      </c>
      <c r="J86" s="10"/>
      <c r="K86" s="11"/>
      <c r="L86" s="48">
        <f>L81</f>
        <v>784165.15</v>
      </c>
      <c r="M86" s="20">
        <f>IF(OR(F86="",F86=0),"",L86/F86-100%)</f>
        <v>4.6094712998191012E-2</v>
      </c>
      <c r="N86" s="2"/>
    </row>
    <row r="87" spans="1:16" ht="11.1" customHeight="1" thickBot="1" x14ac:dyDescent="0.3">
      <c r="B87" s="49"/>
      <c r="C87" s="47"/>
      <c r="D87" s="64"/>
      <c r="E87" s="64"/>
      <c r="F87" s="64"/>
      <c r="G87" s="11"/>
      <c r="H87" s="20"/>
      <c r="I87" s="43"/>
      <c r="J87" s="10"/>
      <c r="K87" s="11"/>
      <c r="L87" s="43"/>
      <c r="M87" s="20"/>
      <c r="N87" s="2"/>
    </row>
    <row r="88" spans="1:16" ht="15" customHeight="1" thickBot="1" x14ac:dyDescent="0.3">
      <c r="B88" s="67"/>
      <c r="C88" s="50" t="s">
        <v>134</v>
      </c>
      <c r="D88" s="68">
        <f>D84-D86</f>
        <v>26950.809999999939</v>
      </c>
      <c r="E88" s="68">
        <f>E84-E86</f>
        <v>53901.619999999879</v>
      </c>
      <c r="F88" s="68">
        <f>F84-F86</f>
        <v>-5450</v>
      </c>
      <c r="G88" s="61"/>
      <c r="H88" s="62"/>
      <c r="I88" s="68">
        <f>I84-I86</f>
        <v>0</v>
      </c>
      <c r="J88" s="55"/>
      <c r="K88" s="61"/>
      <c r="L88" s="68">
        <f>L84-L86</f>
        <v>0</v>
      </c>
      <c r="M88" s="20"/>
      <c r="N88" s="2"/>
    </row>
    <row r="89" spans="1:16" ht="14.4" customHeight="1" x14ac:dyDescent="0.25">
      <c r="J89" s="10"/>
      <c r="K89" s="7"/>
      <c r="L89" s="2"/>
      <c r="M89" s="72"/>
      <c r="N89" s="2"/>
    </row>
    <row r="90" spans="1:16" ht="11.55" customHeight="1" x14ac:dyDescent="0.25">
      <c r="B90" s="73" t="s">
        <v>135</v>
      </c>
      <c r="C90" s="116"/>
      <c r="D90" s="201" t="s">
        <v>136</v>
      </c>
      <c r="E90" s="202"/>
      <c r="F90" s="202"/>
      <c r="G90" s="202"/>
      <c r="H90" s="202"/>
      <c r="I90" s="202"/>
      <c r="J90" s="202"/>
      <c r="K90" s="74"/>
      <c r="L90" s="204" t="s">
        <v>84</v>
      </c>
      <c r="M90" s="204" t="s">
        <v>85</v>
      </c>
      <c r="N90" s="204" t="s">
        <v>137</v>
      </c>
      <c r="O90" s="204" t="s">
        <v>138</v>
      </c>
      <c r="P90" s="204" t="s">
        <v>88</v>
      </c>
    </row>
    <row r="91" spans="1:16" ht="7.2" customHeight="1" x14ac:dyDescent="0.25">
      <c r="D91" s="174"/>
      <c r="E91" s="174"/>
      <c r="F91" s="174"/>
      <c r="G91" s="174"/>
      <c r="H91" s="174"/>
      <c r="I91" s="173"/>
      <c r="J91" s="175"/>
      <c r="K91" s="74"/>
      <c r="L91" s="205"/>
      <c r="M91" s="204"/>
      <c r="N91" s="206"/>
      <c r="O91" s="202"/>
      <c r="P91" s="202"/>
    </row>
    <row r="92" spans="1:16" ht="11.55" customHeight="1" x14ac:dyDescent="0.25">
      <c r="B92" s="74" t="s">
        <v>139</v>
      </c>
      <c r="C92" s="117"/>
      <c r="D92" s="201" t="s">
        <v>140</v>
      </c>
      <c r="E92" s="202"/>
      <c r="F92" s="202"/>
      <c r="G92" s="202"/>
      <c r="H92" s="202"/>
      <c r="I92" s="202"/>
      <c r="J92" s="202"/>
      <c r="K92" s="73"/>
      <c r="L92" s="205"/>
      <c r="M92" s="204"/>
      <c r="N92" s="206"/>
      <c r="O92" s="202"/>
      <c r="P92" s="202"/>
    </row>
    <row r="93" spans="1:16" ht="6.75" customHeight="1" x14ac:dyDescent="0.25">
      <c r="D93" s="174"/>
      <c r="E93" s="174"/>
      <c r="F93" s="174"/>
      <c r="G93" s="174"/>
      <c r="H93" s="174"/>
      <c r="I93" s="173"/>
      <c r="J93" s="175"/>
      <c r="K93" s="74"/>
      <c r="L93" s="205"/>
      <c r="M93" s="204"/>
      <c r="N93" s="206"/>
      <c r="O93" s="202"/>
      <c r="P93" s="202"/>
    </row>
    <row r="94" spans="1:16" ht="11.55" customHeight="1" x14ac:dyDescent="0.25">
      <c r="B94" s="74" t="s">
        <v>141</v>
      </c>
      <c r="C94" s="75"/>
      <c r="D94" s="201" t="s">
        <v>142</v>
      </c>
      <c r="E94" s="202"/>
      <c r="F94" s="202"/>
      <c r="G94" s="202"/>
      <c r="H94" s="202"/>
      <c r="I94" s="202"/>
      <c r="J94" s="202"/>
      <c r="K94" s="74"/>
      <c r="L94" s="205"/>
      <c r="M94" s="204"/>
      <c r="N94" s="206"/>
      <c r="O94" s="202"/>
      <c r="P94" s="202"/>
    </row>
    <row r="95" spans="1:16" ht="5.7" customHeight="1" thickBot="1" x14ac:dyDescent="0.3">
      <c r="I95" s="7"/>
      <c r="J95" s="8"/>
      <c r="K95" s="74"/>
      <c r="L95" s="2"/>
      <c r="M95" s="2"/>
      <c r="N95" s="1"/>
    </row>
    <row r="96" spans="1:16" s="6" customFormat="1" ht="15.6" customHeight="1" thickBot="1" x14ac:dyDescent="0.35">
      <c r="B96" s="211" t="s">
        <v>143</v>
      </c>
      <c r="C96" s="212"/>
      <c r="D96" s="212"/>
      <c r="E96" s="212"/>
      <c r="F96" s="212"/>
      <c r="G96" s="212"/>
      <c r="H96" s="212"/>
      <c r="I96" s="212"/>
      <c r="J96" s="213"/>
      <c r="K96" s="76"/>
      <c r="L96" s="95">
        <f>L7</f>
        <v>1420.5890398550725</v>
      </c>
      <c r="M96" s="29">
        <f>$M$7</f>
        <v>30.19513888888893</v>
      </c>
      <c r="N96" s="29">
        <f>N7</f>
        <v>90.585416666666788</v>
      </c>
      <c r="O96" s="29">
        <f>O7</f>
        <v>362.34166666666715</v>
      </c>
      <c r="P96" s="30">
        <f>P7</f>
        <v>6.8109150296528753E-2</v>
      </c>
    </row>
    <row r="97" spans="2:14" ht="14.4" customHeight="1" x14ac:dyDescent="0.25">
      <c r="I97" s="7"/>
      <c r="J97" s="8"/>
      <c r="K97" s="8"/>
      <c r="L97" s="2"/>
      <c r="M97" s="1"/>
      <c r="N97" s="2"/>
    </row>
    <row r="98" spans="2:14" ht="11.55" customHeight="1" x14ac:dyDescent="0.25">
      <c r="B98" s="76"/>
      <c r="C98" s="76"/>
      <c r="D98" s="76"/>
      <c r="E98" s="76"/>
      <c r="F98" s="76"/>
      <c r="G98" s="76"/>
      <c r="H98" s="76"/>
      <c r="I98" s="76"/>
      <c r="J98" s="76"/>
      <c r="K98" s="2"/>
      <c r="L98" s="1"/>
      <c r="M98" s="2"/>
      <c r="N98" s="2"/>
    </row>
    <row r="99" spans="2:14" ht="14.4" customHeight="1" x14ac:dyDescent="0.25">
      <c r="I99" s="7"/>
      <c r="J99" s="8"/>
      <c r="K99" s="8"/>
      <c r="L99" s="2"/>
      <c r="M99" s="1"/>
      <c r="N99" s="2"/>
    </row>
    <row r="100" spans="2:14" ht="14.4" customHeight="1" x14ac:dyDescent="0.25">
      <c r="I100" s="7"/>
      <c r="J100" s="8"/>
      <c r="K100" s="8"/>
      <c r="L100" s="2"/>
      <c r="M100" s="1"/>
      <c r="N100" s="2"/>
    </row>
    <row r="101" spans="2:14" ht="14.4" customHeight="1" x14ac:dyDescent="0.25">
      <c r="J101" s="6"/>
      <c r="K101" s="8"/>
      <c r="L101" s="8"/>
      <c r="M101" s="1"/>
      <c r="N101" s="2"/>
    </row>
    <row r="102" spans="2:14" ht="14.4" customHeight="1" x14ac:dyDescent="0.25">
      <c r="J102" s="6"/>
      <c r="K102" s="8"/>
      <c r="L102" s="8"/>
      <c r="M102" s="1"/>
      <c r="N102" s="2"/>
    </row>
    <row r="103" spans="2:14" ht="14.4" customHeight="1" x14ac:dyDescent="0.25">
      <c r="J103" s="6"/>
      <c r="K103" s="8"/>
      <c r="L103" s="8"/>
      <c r="M103" s="1"/>
      <c r="N103" s="2"/>
    </row>
    <row r="104" spans="2:14" ht="14.4" customHeight="1" x14ac:dyDescent="0.25">
      <c r="J104" s="6"/>
      <c r="K104" s="8"/>
      <c r="L104" s="8"/>
      <c r="M104" s="1"/>
      <c r="N104" s="2"/>
    </row>
    <row r="105" spans="2:14" ht="14.4" customHeight="1" x14ac:dyDescent="0.25">
      <c r="J105" s="6"/>
      <c r="K105" s="8"/>
      <c r="L105" s="8"/>
      <c r="M105" s="1"/>
      <c r="N105" s="2"/>
    </row>
    <row r="106" spans="2:14" ht="14.4" customHeight="1" x14ac:dyDescent="0.25">
      <c r="J106" s="6"/>
      <c r="K106" s="8"/>
      <c r="L106" s="8"/>
      <c r="M106" s="1"/>
      <c r="N106" s="2"/>
    </row>
    <row r="107" spans="2:14" ht="14.4" customHeight="1" x14ac:dyDescent="0.25">
      <c r="J107" s="6"/>
      <c r="K107" s="8"/>
      <c r="L107" s="8"/>
      <c r="M107" s="1"/>
      <c r="N107" s="2"/>
    </row>
    <row r="108" spans="2:14" ht="14.4" customHeight="1" x14ac:dyDescent="0.25">
      <c r="J108" s="6"/>
      <c r="K108" s="8"/>
      <c r="L108" s="8"/>
      <c r="M108" s="1"/>
      <c r="N108" s="2"/>
    </row>
    <row r="109" spans="2:14" ht="14.4" customHeight="1" x14ac:dyDescent="0.25">
      <c r="H109" s="1"/>
      <c r="J109" s="6"/>
      <c r="K109" s="8"/>
      <c r="L109" s="8"/>
      <c r="M109" s="1"/>
      <c r="N109" s="2"/>
    </row>
    <row r="110" spans="2:14" ht="14.4" customHeight="1" x14ac:dyDescent="0.25">
      <c r="J110" s="6"/>
      <c r="K110" s="8"/>
      <c r="L110" s="8"/>
      <c r="M110" s="1"/>
      <c r="N110" s="2"/>
    </row>
    <row r="111" spans="2:14" ht="14.4" customHeight="1" x14ac:dyDescent="0.25">
      <c r="J111" s="6"/>
      <c r="K111" s="8"/>
      <c r="L111" s="8"/>
      <c r="M111" s="1"/>
      <c r="N111" s="2"/>
    </row>
    <row r="112" spans="2:14" ht="14.4" customHeight="1" x14ac:dyDescent="0.25">
      <c r="J112" s="6"/>
      <c r="K112" s="8"/>
      <c r="L112" s="8"/>
      <c r="M112" s="1"/>
      <c r="N112" s="2"/>
    </row>
    <row r="113" spans="10:14" ht="14.4" customHeight="1" x14ac:dyDescent="0.25">
      <c r="J113" s="6"/>
      <c r="K113" s="8"/>
      <c r="L113" s="8"/>
      <c r="M113" s="1"/>
      <c r="N113" s="2"/>
    </row>
    <row r="114" spans="10:14" ht="14.4" customHeight="1" x14ac:dyDescent="0.25">
      <c r="J114" s="6"/>
      <c r="K114" s="8"/>
      <c r="L114" s="8"/>
      <c r="M114" s="1"/>
      <c r="N114" s="2"/>
    </row>
    <row r="115" spans="10:14" ht="14.4" customHeight="1" x14ac:dyDescent="0.25">
      <c r="J115" s="6"/>
      <c r="K115" s="8"/>
      <c r="L115" s="8"/>
      <c r="M115" s="1"/>
      <c r="N115" s="2"/>
    </row>
    <row r="116" spans="10:14" ht="14.4" customHeight="1" x14ac:dyDescent="0.25">
      <c r="J116" s="6"/>
      <c r="K116" s="8"/>
      <c r="L116" s="8"/>
      <c r="M116" s="1"/>
      <c r="N116" s="2"/>
    </row>
    <row r="117" spans="10:14" ht="14.4" customHeight="1" x14ac:dyDescent="0.25">
      <c r="J117" s="6"/>
      <c r="K117" s="8"/>
      <c r="L117" s="8"/>
      <c r="M117" s="1"/>
      <c r="N117" s="2"/>
    </row>
    <row r="118" spans="10:14" ht="14.4" customHeight="1" x14ac:dyDescent="0.25">
      <c r="J118" s="6"/>
      <c r="K118" s="8"/>
      <c r="L118" s="8"/>
      <c r="M118" s="1"/>
      <c r="N118" s="2"/>
    </row>
    <row r="119" spans="10:14" ht="14.4" customHeight="1" x14ac:dyDescent="0.25">
      <c r="J119" s="6"/>
      <c r="K119" s="8"/>
      <c r="L119" s="8"/>
      <c r="M119" s="1"/>
      <c r="N119" s="2"/>
    </row>
    <row r="120" spans="10:14" ht="14.4" customHeight="1" x14ac:dyDescent="0.25">
      <c r="J120" s="6"/>
      <c r="K120" s="8"/>
      <c r="L120" s="8"/>
      <c r="M120" s="1"/>
      <c r="N120" s="2"/>
    </row>
    <row r="121" spans="10:14" ht="14.4" customHeight="1" x14ac:dyDescent="0.25">
      <c r="J121" s="6"/>
      <c r="K121" s="8"/>
      <c r="L121" s="8"/>
      <c r="M121" s="1"/>
      <c r="N121" s="2"/>
    </row>
    <row r="122" spans="10:14" ht="14.4" customHeight="1" x14ac:dyDescent="0.25">
      <c r="J122" s="6"/>
      <c r="K122" s="8"/>
      <c r="L122" s="8"/>
      <c r="M122" s="1"/>
      <c r="N122" s="2"/>
    </row>
    <row r="123" spans="10:14" ht="14.4" customHeight="1" x14ac:dyDescent="0.25">
      <c r="J123" s="6"/>
      <c r="K123" s="8"/>
      <c r="L123" s="8"/>
      <c r="M123" s="1"/>
      <c r="N123" s="2"/>
    </row>
    <row r="124" spans="10:14" ht="14.4" customHeight="1" x14ac:dyDescent="0.25">
      <c r="J124" s="6"/>
      <c r="K124" s="8"/>
      <c r="L124" s="8"/>
      <c r="M124" s="1"/>
      <c r="N124" s="2"/>
    </row>
    <row r="125" spans="10:14" ht="14.4" customHeight="1" x14ac:dyDescent="0.25">
      <c r="J125" s="6"/>
      <c r="K125" s="8"/>
      <c r="L125" s="8"/>
      <c r="M125" s="1"/>
      <c r="N125" s="2"/>
    </row>
    <row r="126" spans="10:14" ht="14.4" customHeight="1" x14ac:dyDescent="0.25">
      <c r="J126" s="6"/>
      <c r="K126" s="8"/>
      <c r="L126" s="8"/>
      <c r="M126" s="1"/>
      <c r="N126" s="2"/>
    </row>
    <row r="127" spans="10:14" ht="14.4" customHeight="1" x14ac:dyDescent="0.25">
      <c r="J127" s="6"/>
      <c r="K127" s="8"/>
      <c r="L127" s="8"/>
      <c r="M127" s="1"/>
      <c r="N127" s="2"/>
    </row>
    <row r="128" spans="10:14" ht="14.4" customHeight="1" x14ac:dyDescent="0.25">
      <c r="J128" s="6"/>
      <c r="K128" s="8"/>
      <c r="L128" s="8"/>
      <c r="M128" s="1"/>
      <c r="N128" s="2"/>
    </row>
    <row r="129" spans="10:14" ht="14.4" customHeight="1" x14ac:dyDescent="0.25">
      <c r="J129" s="6"/>
      <c r="K129" s="8"/>
      <c r="L129" s="8"/>
      <c r="M129" s="1"/>
      <c r="N129" s="2"/>
    </row>
    <row r="130" spans="10:14" ht="14.4" customHeight="1" x14ac:dyDescent="0.25">
      <c r="J130" s="6"/>
      <c r="K130" s="8"/>
      <c r="L130" s="8"/>
      <c r="M130" s="1"/>
      <c r="N130" s="2"/>
    </row>
    <row r="131" spans="10:14" ht="14.4" customHeight="1" x14ac:dyDescent="0.25">
      <c r="J131" s="6"/>
      <c r="K131" s="8"/>
      <c r="L131" s="8"/>
      <c r="M131" s="1"/>
      <c r="N131" s="2"/>
    </row>
    <row r="132" spans="10:14" ht="14.4" customHeight="1" x14ac:dyDescent="0.25">
      <c r="J132" s="6"/>
      <c r="K132" s="8"/>
      <c r="L132" s="8"/>
      <c r="M132" s="1"/>
      <c r="N132" s="2"/>
    </row>
    <row r="133" spans="10:14" ht="14.4" customHeight="1" x14ac:dyDescent="0.25">
      <c r="J133" s="6"/>
      <c r="K133" s="8"/>
      <c r="L133" s="8"/>
      <c r="M133" s="1"/>
      <c r="N133" s="2"/>
    </row>
    <row r="134" spans="10:14" ht="14.4" customHeight="1" x14ac:dyDescent="0.25">
      <c r="J134" s="6"/>
      <c r="K134" s="8"/>
      <c r="L134" s="8"/>
      <c r="M134" s="1"/>
      <c r="N134" s="2"/>
    </row>
    <row r="135" spans="10:14" ht="14.4" customHeight="1" x14ac:dyDescent="0.25">
      <c r="J135" s="6"/>
      <c r="K135" s="8"/>
      <c r="L135" s="8"/>
      <c r="M135" s="1"/>
      <c r="N135" s="2"/>
    </row>
    <row r="136" spans="10:14" ht="14.4" customHeight="1" x14ac:dyDescent="0.25">
      <c r="K136" s="77"/>
    </row>
    <row r="137" spans="10:14" ht="14.4" customHeight="1" x14ac:dyDescent="0.25">
      <c r="K137" s="77"/>
    </row>
  </sheetData>
  <sheetProtection sheet="1"/>
  <mergeCells count="14">
    <mergeCell ref="B96:J96"/>
    <mergeCell ref="D90:J90"/>
    <mergeCell ref="E3:F3"/>
    <mergeCell ref="P90:P94"/>
    <mergeCell ref="N90:N94"/>
    <mergeCell ref="D92:J92"/>
    <mergeCell ref="I3:N3"/>
    <mergeCell ref="O90:O94"/>
    <mergeCell ref="D94:J94"/>
    <mergeCell ref="I2:N2"/>
    <mergeCell ref="E2:F2"/>
    <mergeCell ref="C5:D5"/>
    <mergeCell ref="L90:L94"/>
    <mergeCell ref="M90:M94"/>
  </mergeCells>
  <dataValidations count="2">
    <dataValidation type="whole" showErrorMessage="1" errorTitle="Enter completed months" error="Enter a whole number from 1 to 12." sqref="H2" xr:uid="{00000000-0002-0000-0100-000000000000}">
      <formula1>1</formula1>
      <formula2>12</formula2>
    </dataValidation>
    <dataValidation type="whole" operator="greaterThan" showErrorMessage="1" error="Enter a positive whole number of units." sqref="H3" xr:uid="{00000000-0002-0000-0100-000001000000}">
      <formula1>0</formula1>
    </dataValidation>
  </dataValidations>
  <pageMargins left="0.7" right="0.7" top="0.75" bottom="0.75" header="0.3" footer="0.3"/>
  <pageSetup scale="72" fitToHeight="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37"/>
  <sheetViews>
    <sheetView tabSelected="1" workbookViewId="0">
      <selection activeCell="R16" sqref="R16"/>
    </sheetView>
  </sheetViews>
  <sheetFormatPr defaultColWidth="9.109375" defaultRowHeight="13.8" x14ac:dyDescent="0.25"/>
  <cols>
    <col min="1" max="1" width="2.77734375" style="2" customWidth="1"/>
    <col min="2" max="2" width="7.88671875" style="2" customWidth="1"/>
    <col min="3" max="3" width="32.77734375" style="2" customWidth="1"/>
    <col min="4" max="4" width="18.109375" style="2" customWidth="1"/>
    <col min="5" max="5" width="12.77734375" style="2" customWidth="1"/>
    <col min="6" max="6" width="12.33203125" style="2" customWidth="1"/>
    <col min="7" max="7" width="3.6640625" style="2" customWidth="1"/>
    <col min="8" max="8" width="7.44140625" style="2" customWidth="1"/>
    <col min="9" max="9" width="11.21875" style="2" customWidth="1"/>
    <col min="10" max="10" width="0.88671875" style="2" customWidth="1"/>
    <col min="11" max="11" width="12.77734375" style="6" customWidth="1"/>
    <col min="12" max="12" width="11.21875" style="7" customWidth="1"/>
    <col min="13" max="13" width="8.5546875" style="6" customWidth="1"/>
    <col min="14" max="14" width="9.5546875" style="8" customWidth="1"/>
    <col min="15" max="15" width="7.88671875" style="2" customWidth="1"/>
    <col min="16" max="256" width="9.109375" style="2" customWidth="1"/>
    <col min="257" max="257" width="4.109375" style="2" customWidth="1"/>
    <col min="258" max="258" width="30" style="2" customWidth="1"/>
    <col min="259" max="259" width="9.5546875" style="2" customWidth="1"/>
    <col min="260" max="260" width="13" style="2" customWidth="1"/>
    <col min="261" max="261" width="13.109375" style="2" customWidth="1"/>
    <col min="262" max="262" width="3.6640625" style="2" customWidth="1"/>
    <col min="263" max="263" width="1.6640625" style="2" customWidth="1"/>
    <col min="264" max="264" width="8.5546875" style="2" customWidth="1"/>
    <col min="265" max="265" width="0.88671875" style="2" customWidth="1"/>
    <col min="266" max="267" width="7.77734375" style="2" customWidth="1"/>
    <col min="268" max="512" width="9.109375" style="2" customWidth="1"/>
    <col min="513" max="513" width="4.109375" style="2" customWidth="1"/>
    <col min="514" max="514" width="30" style="2" customWidth="1"/>
    <col min="515" max="515" width="9.5546875" style="2" customWidth="1"/>
    <col min="516" max="516" width="13" style="2" customWidth="1"/>
    <col min="517" max="517" width="13.109375" style="2" customWidth="1"/>
    <col min="518" max="518" width="3.6640625" style="2" customWidth="1"/>
    <col min="519" max="519" width="1.6640625" style="2" customWidth="1"/>
    <col min="520" max="520" width="8.5546875" style="2" customWidth="1"/>
    <col min="521" max="521" width="0.88671875" style="2" customWidth="1"/>
    <col min="522" max="523" width="7.77734375" style="2" customWidth="1"/>
    <col min="524" max="768" width="9.109375" style="2" customWidth="1"/>
    <col min="769" max="769" width="4.109375" style="2" customWidth="1"/>
    <col min="770" max="770" width="30" style="2" customWidth="1"/>
    <col min="771" max="771" width="9.5546875" style="2" customWidth="1"/>
    <col min="772" max="772" width="13" style="2" customWidth="1"/>
    <col min="773" max="773" width="13.109375" style="2" customWidth="1"/>
    <col min="774" max="774" width="3.6640625" style="2" customWidth="1"/>
    <col min="775" max="775" width="1.6640625" style="2" customWidth="1"/>
    <col min="776" max="776" width="8.5546875" style="2" customWidth="1"/>
    <col min="777" max="777" width="0.88671875" style="2" customWidth="1"/>
    <col min="778" max="779" width="7.77734375" style="2" customWidth="1"/>
    <col min="780" max="1024" width="9.109375" style="2" customWidth="1"/>
    <col min="1025" max="1025" width="4.109375" style="2" customWidth="1"/>
    <col min="1026" max="1026" width="30" style="2" customWidth="1"/>
    <col min="1027" max="1027" width="9.5546875" style="2" customWidth="1"/>
    <col min="1028" max="1028" width="13" style="2" customWidth="1"/>
    <col min="1029" max="1029" width="13.109375" style="2" customWidth="1"/>
    <col min="1030" max="1030" width="3.6640625" style="2" customWidth="1"/>
    <col min="1031" max="1031" width="1.6640625" style="2" customWidth="1"/>
    <col min="1032" max="1032" width="8.5546875" style="2" customWidth="1"/>
    <col min="1033" max="1033" width="0.88671875" style="2" customWidth="1"/>
    <col min="1034" max="1035" width="7.77734375" style="2" customWidth="1"/>
    <col min="1036" max="1280" width="9.109375" style="2" customWidth="1"/>
    <col min="1281" max="1281" width="4.109375" style="2" customWidth="1"/>
    <col min="1282" max="1282" width="30" style="2" customWidth="1"/>
    <col min="1283" max="1283" width="9.5546875" style="2" customWidth="1"/>
    <col min="1284" max="1284" width="13" style="2" customWidth="1"/>
    <col min="1285" max="1285" width="13.109375" style="2" customWidth="1"/>
    <col min="1286" max="1286" width="3.6640625" style="2" customWidth="1"/>
    <col min="1287" max="1287" width="1.6640625" style="2" customWidth="1"/>
    <col min="1288" max="1288" width="8.5546875" style="2" customWidth="1"/>
    <col min="1289" max="1289" width="0.88671875" style="2" customWidth="1"/>
    <col min="1290" max="1291" width="7.77734375" style="2" customWidth="1"/>
    <col min="1292" max="1536" width="9.109375" style="2" customWidth="1"/>
    <col min="1537" max="1537" width="4.109375" style="2" customWidth="1"/>
    <col min="1538" max="1538" width="30" style="2" customWidth="1"/>
    <col min="1539" max="1539" width="9.5546875" style="2" customWidth="1"/>
    <col min="1540" max="1540" width="13" style="2" customWidth="1"/>
    <col min="1541" max="1541" width="13.109375" style="2" customWidth="1"/>
    <col min="1542" max="1542" width="3.6640625" style="2" customWidth="1"/>
    <col min="1543" max="1543" width="1.6640625" style="2" customWidth="1"/>
    <col min="1544" max="1544" width="8.5546875" style="2" customWidth="1"/>
    <col min="1545" max="1545" width="0.88671875" style="2" customWidth="1"/>
    <col min="1546" max="1547" width="7.77734375" style="2" customWidth="1"/>
    <col min="1548" max="1792" width="9.109375" style="2" customWidth="1"/>
    <col min="1793" max="1793" width="4.109375" style="2" customWidth="1"/>
    <col min="1794" max="1794" width="30" style="2" customWidth="1"/>
    <col min="1795" max="1795" width="9.5546875" style="2" customWidth="1"/>
    <col min="1796" max="1796" width="13" style="2" customWidth="1"/>
    <col min="1797" max="1797" width="13.109375" style="2" customWidth="1"/>
    <col min="1798" max="1798" width="3.6640625" style="2" customWidth="1"/>
    <col min="1799" max="1799" width="1.6640625" style="2" customWidth="1"/>
    <col min="1800" max="1800" width="8.5546875" style="2" customWidth="1"/>
    <col min="1801" max="1801" width="0.88671875" style="2" customWidth="1"/>
    <col min="1802" max="1803" width="7.77734375" style="2" customWidth="1"/>
    <col min="1804" max="2048" width="9.109375" style="2" customWidth="1"/>
    <col min="2049" max="2049" width="4.109375" style="2" customWidth="1"/>
    <col min="2050" max="2050" width="30" style="2" customWidth="1"/>
    <col min="2051" max="2051" width="9.5546875" style="2" customWidth="1"/>
    <col min="2052" max="2052" width="13" style="2" customWidth="1"/>
    <col min="2053" max="2053" width="13.109375" style="2" customWidth="1"/>
    <col min="2054" max="2054" width="3.6640625" style="2" customWidth="1"/>
    <col min="2055" max="2055" width="1.6640625" style="2" customWidth="1"/>
    <col min="2056" max="2056" width="8.5546875" style="2" customWidth="1"/>
    <col min="2057" max="2057" width="0.88671875" style="2" customWidth="1"/>
    <col min="2058" max="2059" width="7.77734375" style="2" customWidth="1"/>
    <col min="2060" max="2304" width="9.109375" style="2" customWidth="1"/>
    <col min="2305" max="2305" width="4.109375" style="2" customWidth="1"/>
    <col min="2306" max="2306" width="30" style="2" customWidth="1"/>
    <col min="2307" max="2307" width="9.5546875" style="2" customWidth="1"/>
    <col min="2308" max="2308" width="13" style="2" customWidth="1"/>
    <col min="2309" max="2309" width="13.109375" style="2" customWidth="1"/>
    <col min="2310" max="2310" width="3.6640625" style="2" customWidth="1"/>
    <col min="2311" max="2311" width="1.6640625" style="2" customWidth="1"/>
    <col min="2312" max="2312" width="8.5546875" style="2" customWidth="1"/>
    <col min="2313" max="2313" width="0.88671875" style="2" customWidth="1"/>
    <col min="2314" max="2315" width="7.77734375" style="2" customWidth="1"/>
    <col min="2316" max="2560" width="9.109375" style="2" customWidth="1"/>
    <col min="2561" max="2561" width="4.109375" style="2" customWidth="1"/>
    <col min="2562" max="2562" width="30" style="2" customWidth="1"/>
    <col min="2563" max="2563" width="9.5546875" style="2" customWidth="1"/>
    <col min="2564" max="2564" width="13" style="2" customWidth="1"/>
    <col min="2565" max="2565" width="13.109375" style="2" customWidth="1"/>
    <col min="2566" max="2566" width="3.6640625" style="2" customWidth="1"/>
    <col min="2567" max="2567" width="1.6640625" style="2" customWidth="1"/>
    <col min="2568" max="2568" width="8.5546875" style="2" customWidth="1"/>
    <col min="2569" max="2569" width="0.88671875" style="2" customWidth="1"/>
    <col min="2570" max="2571" width="7.77734375" style="2" customWidth="1"/>
    <col min="2572" max="2816" width="9.109375" style="2" customWidth="1"/>
    <col min="2817" max="2817" width="4.109375" style="2" customWidth="1"/>
    <col min="2818" max="2818" width="30" style="2" customWidth="1"/>
    <col min="2819" max="2819" width="9.5546875" style="2" customWidth="1"/>
    <col min="2820" max="2820" width="13" style="2" customWidth="1"/>
    <col min="2821" max="2821" width="13.109375" style="2" customWidth="1"/>
    <col min="2822" max="2822" width="3.6640625" style="2" customWidth="1"/>
    <col min="2823" max="2823" width="1.6640625" style="2" customWidth="1"/>
    <col min="2824" max="2824" width="8.5546875" style="2" customWidth="1"/>
    <col min="2825" max="2825" width="0.88671875" style="2" customWidth="1"/>
    <col min="2826" max="2827" width="7.77734375" style="2" customWidth="1"/>
    <col min="2828" max="3072" width="9.109375" style="2" customWidth="1"/>
    <col min="3073" max="3073" width="4.109375" style="2" customWidth="1"/>
    <col min="3074" max="3074" width="30" style="2" customWidth="1"/>
    <col min="3075" max="3075" width="9.5546875" style="2" customWidth="1"/>
    <col min="3076" max="3076" width="13" style="2" customWidth="1"/>
    <col min="3077" max="3077" width="13.109375" style="2" customWidth="1"/>
    <col min="3078" max="3078" width="3.6640625" style="2" customWidth="1"/>
    <col min="3079" max="3079" width="1.6640625" style="2" customWidth="1"/>
    <col min="3080" max="3080" width="8.5546875" style="2" customWidth="1"/>
    <col min="3081" max="3081" width="0.88671875" style="2" customWidth="1"/>
    <col min="3082" max="3083" width="7.77734375" style="2" customWidth="1"/>
    <col min="3084" max="3328" width="9.109375" style="2" customWidth="1"/>
    <col min="3329" max="3329" width="4.109375" style="2" customWidth="1"/>
    <col min="3330" max="3330" width="30" style="2" customWidth="1"/>
    <col min="3331" max="3331" width="9.5546875" style="2" customWidth="1"/>
    <col min="3332" max="3332" width="13" style="2" customWidth="1"/>
    <col min="3333" max="3333" width="13.109375" style="2" customWidth="1"/>
    <col min="3334" max="3334" width="3.6640625" style="2" customWidth="1"/>
    <col min="3335" max="3335" width="1.6640625" style="2" customWidth="1"/>
    <col min="3336" max="3336" width="8.5546875" style="2" customWidth="1"/>
    <col min="3337" max="3337" width="0.88671875" style="2" customWidth="1"/>
    <col min="3338" max="3339" width="7.77734375" style="2" customWidth="1"/>
    <col min="3340" max="3584" width="9.109375" style="2" customWidth="1"/>
    <col min="3585" max="3585" width="4.109375" style="2" customWidth="1"/>
    <col min="3586" max="3586" width="30" style="2" customWidth="1"/>
    <col min="3587" max="3587" width="9.5546875" style="2" customWidth="1"/>
    <col min="3588" max="3588" width="13" style="2" customWidth="1"/>
    <col min="3589" max="3589" width="13.109375" style="2" customWidth="1"/>
    <col min="3590" max="3590" width="3.6640625" style="2" customWidth="1"/>
    <col min="3591" max="3591" width="1.6640625" style="2" customWidth="1"/>
    <col min="3592" max="3592" width="8.5546875" style="2" customWidth="1"/>
    <col min="3593" max="3593" width="0.88671875" style="2" customWidth="1"/>
    <col min="3594" max="3595" width="7.77734375" style="2" customWidth="1"/>
    <col min="3596" max="3840" width="9.109375" style="2" customWidth="1"/>
    <col min="3841" max="3841" width="4.109375" style="2" customWidth="1"/>
    <col min="3842" max="3842" width="30" style="2" customWidth="1"/>
    <col min="3843" max="3843" width="9.5546875" style="2" customWidth="1"/>
    <col min="3844" max="3844" width="13" style="2" customWidth="1"/>
    <col min="3845" max="3845" width="13.109375" style="2" customWidth="1"/>
    <col min="3846" max="3846" width="3.6640625" style="2" customWidth="1"/>
    <col min="3847" max="3847" width="1.6640625" style="2" customWidth="1"/>
    <col min="3848" max="3848" width="8.5546875" style="2" customWidth="1"/>
    <col min="3849" max="3849" width="0.88671875" style="2" customWidth="1"/>
    <col min="3850" max="3851" width="7.77734375" style="2" customWidth="1"/>
    <col min="3852" max="4096" width="9.109375" style="2" customWidth="1"/>
    <col min="4097" max="4097" width="4.109375" style="2" customWidth="1"/>
    <col min="4098" max="4098" width="30" style="2" customWidth="1"/>
    <col min="4099" max="4099" width="9.5546875" style="2" customWidth="1"/>
    <col min="4100" max="4100" width="13" style="2" customWidth="1"/>
    <col min="4101" max="4101" width="13.109375" style="2" customWidth="1"/>
    <col min="4102" max="4102" width="3.6640625" style="2" customWidth="1"/>
    <col min="4103" max="4103" width="1.6640625" style="2" customWidth="1"/>
    <col min="4104" max="4104" width="8.5546875" style="2" customWidth="1"/>
    <col min="4105" max="4105" width="0.88671875" style="2" customWidth="1"/>
    <col min="4106" max="4107" width="7.77734375" style="2" customWidth="1"/>
    <col min="4108" max="4352" width="9.109375" style="2" customWidth="1"/>
    <col min="4353" max="4353" width="4.109375" style="2" customWidth="1"/>
    <col min="4354" max="4354" width="30" style="2" customWidth="1"/>
    <col min="4355" max="4355" width="9.5546875" style="2" customWidth="1"/>
    <col min="4356" max="4356" width="13" style="2" customWidth="1"/>
    <col min="4357" max="4357" width="13.109375" style="2" customWidth="1"/>
    <col min="4358" max="4358" width="3.6640625" style="2" customWidth="1"/>
    <col min="4359" max="4359" width="1.6640625" style="2" customWidth="1"/>
    <col min="4360" max="4360" width="8.5546875" style="2" customWidth="1"/>
    <col min="4361" max="4361" width="0.88671875" style="2" customWidth="1"/>
    <col min="4362" max="4363" width="7.77734375" style="2" customWidth="1"/>
    <col min="4364" max="4608" width="9.109375" style="2" customWidth="1"/>
    <col min="4609" max="4609" width="4.109375" style="2" customWidth="1"/>
    <col min="4610" max="4610" width="30" style="2" customWidth="1"/>
    <col min="4611" max="4611" width="9.5546875" style="2" customWidth="1"/>
    <col min="4612" max="4612" width="13" style="2" customWidth="1"/>
    <col min="4613" max="4613" width="13.109375" style="2" customWidth="1"/>
    <col min="4614" max="4614" width="3.6640625" style="2" customWidth="1"/>
    <col min="4615" max="4615" width="1.6640625" style="2" customWidth="1"/>
    <col min="4616" max="4616" width="8.5546875" style="2" customWidth="1"/>
    <col min="4617" max="4617" width="0.88671875" style="2" customWidth="1"/>
    <col min="4618" max="4619" width="7.77734375" style="2" customWidth="1"/>
    <col min="4620" max="4864" width="9.109375" style="2" customWidth="1"/>
    <col min="4865" max="4865" width="4.109375" style="2" customWidth="1"/>
    <col min="4866" max="4866" width="30" style="2" customWidth="1"/>
    <col min="4867" max="4867" width="9.5546875" style="2" customWidth="1"/>
    <col min="4868" max="4868" width="13" style="2" customWidth="1"/>
    <col min="4869" max="4869" width="13.109375" style="2" customWidth="1"/>
    <col min="4870" max="4870" width="3.6640625" style="2" customWidth="1"/>
    <col min="4871" max="4871" width="1.6640625" style="2" customWidth="1"/>
    <col min="4872" max="4872" width="8.5546875" style="2" customWidth="1"/>
    <col min="4873" max="4873" width="0.88671875" style="2" customWidth="1"/>
    <col min="4874" max="4875" width="7.77734375" style="2" customWidth="1"/>
    <col min="4876" max="5120" width="9.109375" style="2" customWidth="1"/>
    <col min="5121" max="5121" width="4.109375" style="2" customWidth="1"/>
    <col min="5122" max="5122" width="30" style="2" customWidth="1"/>
    <col min="5123" max="5123" width="9.5546875" style="2" customWidth="1"/>
    <col min="5124" max="5124" width="13" style="2" customWidth="1"/>
    <col min="5125" max="5125" width="13.109375" style="2" customWidth="1"/>
    <col min="5126" max="5126" width="3.6640625" style="2" customWidth="1"/>
    <col min="5127" max="5127" width="1.6640625" style="2" customWidth="1"/>
    <col min="5128" max="5128" width="8.5546875" style="2" customWidth="1"/>
    <col min="5129" max="5129" width="0.88671875" style="2" customWidth="1"/>
    <col min="5130" max="5131" width="7.77734375" style="2" customWidth="1"/>
    <col min="5132" max="5376" width="9.109375" style="2" customWidth="1"/>
    <col min="5377" max="5377" width="4.109375" style="2" customWidth="1"/>
    <col min="5378" max="5378" width="30" style="2" customWidth="1"/>
    <col min="5379" max="5379" width="9.5546875" style="2" customWidth="1"/>
    <col min="5380" max="5380" width="13" style="2" customWidth="1"/>
    <col min="5381" max="5381" width="13.109375" style="2" customWidth="1"/>
    <col min="5382" max="5382" width="3.6640625" style="2" customWidth="1"/>
    <col min="5383" max="5383" width="1.6640625" style="2" customWidth="1"/>
    <col min="5384" max="5384" width="8.5546875" style="2" customWidth="1"/>
    <col min="5385" max="5385" width="0.88671875" style="2" customWidth="1"/>
    <col min="5386" max="5387" width="7.77734375" style="2" customWidth="1"/>
    <col min="5388" max="5632" width="9.109375" style="2" customWidth="1"/>
    <col min="5633" max="5633" width="4.109375" style="2" customWidth="1"/>
    <col min="5634" max="5634" width="30" style="2" customWidth="1"/>
    <col min="5635" max="5635" width="9.5546875" style="2" customWidth="1"/>
    <col min="5636" max="5636" width="13" style="2" customWidth="1"/>
    <col min="5637" max="5637" width="13.109375" style="2" customWidth="1"/>
    <col min="5638" max="5638" width="3.6640625" style="2" customWidth="1"/>
    <col min="5639" max="5639" width="1.6640625" style="2" customWidth="1"/>
    <col min="5640" max="5640" width="8.5546875" style="2" customWidth="1"/>
    <col min="5641" max="5641" width="0.88671875" style="2" customWidth="1"/>
    <col min="5642" max="5643" width="7.77734375" style="2" customWidth="1"/>
    <col min="5644" max="5888" width="9.109375" style="2" customWidth="1"/>
    <col min="5889" max="5889" width="4.109375" style="2" customWidth="1"/>
    <col min="5890" max="5890" width="30" style="2" customWidth="1"/>
    <col min="5891" max="5891" width="9.5546875" style="2" customWidth="1"/>
    <col min="5892" max="5892" width="13" style="2" customWidth="1"/>
    <col min="5893" max="5893" width="13.109375" style="2" customWidth="1"/>
    <col min="5894" max="5894" width="3.6640625" style="2" customWidth="1"/>
    <col min="5895" max="5895" width="1.6640625" style="2" customWidth="1"/>
    <col min="5896" max="5896" width="8.5546875" style="2" customWidth="1"/>
    <col min="5897" max="5897" width="0.88671875" style="2" customWidth="1"/>
    <col min="5898" max="5899" width="7.77734375" style="2" customWidth="1"/>
    <col min="5900" max="6144" width="9.109375" style="2" customWidth="1"/>
    <col min="6145" max="6145" width="4.109375" style="2" customWidth="1"/>
    <col min="6146" max="6146" width="30" style="2" customWidth="1"/>
    <col min="6147" max="6147" width="9.5546875" style="2" customWidth="1"/>
    <col min="6148" max="6148" width="13" style="2" customWidth="1"/>
    <col min="6149" max="6149" width="13.109375" style="2" customWidth="1"/>
    <col min="6150" max="6150" width="3.6640625" style="2" customWidth="1"/>
    <col min="6151" max="6151" width="1.6640625" style="2" customWidth="1"/>
    <col min="6152" max="6152" width="8.5546875" style="2" customWidth="1"/>
    <col min="6153" max="6153" width="0.88671875" style="2" customWidth="1"/>
    <col min="6154" max="6155" width="7.77734375" style="2" customWidth="1"/>
    <col min="6156" max="6400" width="9.109375" style="2" customWidth="1"/>
    <col min="6401" max="6401" width="4.109375" style="2" customWidth="1"/>
    <col min="6402" max="6402" width="30" style="2" customWidth="1"/>
    <col min="6403" max="6403" width="9.5546875" style="2" customWidth="1"/>
    <col min="6404" max="6404" width="13" style="2" customWidth="1"/>
    <col min="6405" max="6405" width="13.109375" style="2" customWidth="1"/>
    <col min="6406" max="6406" width="3.6640625" style="2" customWidth="1"/>
    <col min="6407" max="6407" width="1.6640625" style="2" customWidth="1"/>
    <col min="6408" max="6408" width="8.5546875" style="2" customWidth="1"/>
    <col min="6409" max="6409" width="0.88671875" style="2" customWidth="1"/>
    <col min="6410" max="6411" width="7.77734375" style="2" customWidth="1"/>
    <col min="6412" max="6656" width="9.109375" style="2" customWidth="1"/>
    <col min="6657" max="6657" width="4.109375" style="2" customWidth="1"/>
    <col min="6658" max="6658" width="30" style="2" customWidth="1"/>
    <col min="6659" max="6659" width="9.5546875" style="2" customWidth="1"/>
    <col min="6660" max="6660" width="13" style="2" customWidth="1"/>
    <col min="6661" max="6661" width="13.109375" style="2" customWidth="1"/>
    <col min="6662" max="6662" width="3.6640625" style="2" customWidth="1"/>
    <col min="6663" max="6663" width="1.6640625" style="2" customWidth="1"/>
    <col min="6664" max="6664" width="8.5546875" style="2" customWidth="1"/>
    <col min="6665" max="6665" width="0.88671875" style="2" customWidth="1"/>
    <col min="6666" max="6667" width="7.77734375" style="2" customWidth="1"/>
    <col min="6668" max="6912" width="9.109375" style="2" customWidth="1"/>
    <col min="6913" max="6913" width="4.109375" style="2" customWidth="1"/>
    <col min="6914" max="6914" width="30" style="2" customWidth="1"/>
    <col min="6915" max="6915" width="9.5546875" style="2" customWidth="1"/>
    <col min="6916" max="6916" width="13" style="2" customWidth="1"/>
    <col min="6917" max="6917" width="13.109375" style="2" customWidth="1"/>
    <col min="6918" max="6918" width="3.6640625" style="2" customWidth="1"/>
    <col min="6919" max="6919" width="1.6640625" style="2" customWidth="1"/>
    <col min="6920" max="6920" width="8.5546875" style="2" customWidth="1"/>
    <col min="6921" max="6921" width="0.88671875" style="2" customWidth="1"/>
    <col min="6922" max="6923" width="7.77734375" style="2" customWidth="1"/>
    <col min="6924" max="7168" width="9.109375" style="2" customWidth="1"/>
    <col min="7169" max="7169" width="4.109375" style="2" customWidth="1"/>
    <col min="7170" max="7170" width="30" style="2" customWidth="1"/>
    <col min="7171" max="7171" width="9.5546875" style="2" customWidth="1"/>
    <col min="7172" max="7172" width="13" style="2" customWidth="1"/>
    <col min="7173" max="7173" width="13.109375" style="2" customWidth="1"/>
    <col min="7174" max="7174" width="3.6640625" style="2" customWidth="1"/>
    <col min="7175" max="7175" width="1.6640625" style="2" customWidth="1"/>
    <col min="7176" max="7176" width="8.5546875" style="2" customWidth="1"/>
    <col min="7177" max="7177" width="0.88671875" style="2" customWidth="1"/>
    <col min="7178" max="7179" width="7.77734375" style="2" customWidth="1"/>
    <col min="7180" max="7424" width="9.109375" style="2" customWidth="1"/>
    <col min="7425" max="7425" width="4.109375" style="2" customWidth="1"/>
    <col min="7426" max="7426" width="30" style="2" customWidth="1"/>
    <col min="7427" max="7427" width="9.5546875" style="2" customWidth="1"/>
    <col min="7428" max="7428" width="13" style="2" customWidth="1"/>
    <col min="7429" max="7429" width="13.109375" style="2" customWidth="1"/>
    <col min="7430" max="7430" width="3.6640625" style="2" customWidth="1"/>
    <col min="7431" max="7431" width="1.6640625" style="2" customWidth="1"/>
    <col min="7432" max="7432" width="8.5546875" style="2" customWidth="1"/>
    <col min="7433" max="7433" width="0.88671875" style="2" customWidth="1"/>
    <col min="7434" max="7435" width="7.77734375" style="2" customWidth="1"/>
    <col min="7436" max="7680" width="9.109375" style="2" customWidth="1"/>
    <col min="7681" max="7681" width="4.109375" style="2" customWidth="1"/>
    <col min="7682" max="7682" width="30" style="2" customWidth="1"/>
    <col min="7683" max="7683" width="9.5546875" style="2" customWidth="1"/>
    <col min="7684" max="7684" width="13" style="2" customWidth="1"/>
    <col min="7685" max="7685" width="13.109375" style="2" customWidth="1"/>
    <col min="7686" max="7686" width="3.6640625" style="2" customWidth="1"/>
    <col min="7687" max="7687" width="1.6640625" style="2" customWidth="1"/>
    <col min="7688" max="7688" width="8.5546875" style="2" customWidth="1"/>
    <col min="7689" max="7689" width="0.88671875" style="2" customWidth="1"/>
    <col min="7690" max="7691" width="7.77734375" style="2" customWidth="1"/>
    <col min="7692" max="7936" width="9.109375" style="2" customWidth="1"/>
    <col min="7937" max="7937" width="4.109375" style="2" customWidth="1"/>
    <col min="7938" max="7938" width="30" style="2" customWidth="1"/>
    <col min="7939" max="7939" width="9.5546875" style="2" customWidth="1"/>
    <col min="7940" max="7940" width="13" style="2" customWidth="1"/>
    <col min="7941" max="7941" width="13.109375" style="2" customWidth="1"/>
    <col min="7942" max="7942" width="3.6640625" style="2" customWidth="1"/>
    <col min="7943" max="7943" width="1.6640625" style="2" customWidth="1"/>
    <col min="7944" max="7944" width="8.5546875" style="2" customWidth="1"/>
    <col min="7945" max="7945" width="0.88671875" style="2" customWidth="1"/>
    <col min="7946" max="7947" width="7.77734375" style="2" customWidth="1"/>
    <col min="7948" max="8192" width="9.109375" style="2" customWidth="1"/>
    <col min="8193" max="8193" width="4.109375" style="2" customWidth="1"/>
    <col min="8194" max="8194" width="30" style="2" customWidth="1"/>
    <col min="8195" max="8195" width="9.5546875" style="2" customWidth="1"/>
    <col min="8196" max="8196" width="13" style="2" customWidth="1"/>
    <col min="8197" max="8197" width="13.109375" style="2" customWidth="1"/>
    <col min="8198" max="8198" width="3.6640625" style="2" customWidth="1"/>
    <col min="8199" max="8199" width="1.6640625" style="2" customWidth="1"/>
    <col min="8200" max="8200" width="8.5546875" style="2" customWidth="1"/>
    <col min="8201" max="8201" width="0.88671875" style="2" customWidth="1"/>
    <col min="8202" max="8203" width="7.77734375" style="2" customWidth="1"/>
    <col min="8204" max="8448" width="9.109375" style="2" customWidth="1"/>
    <col min="8449" max="8449" width="4.109375" style="2" customWidth="1"/>
    <col min="8450" max="8450" width="30" style="2" customWidth="1"/>
    <col min="8451" max="8451" width="9.5546875" style="2" customWidth="1"/>
    <col min="8452" max="8452" width="13" style="2" customWidth="1"/>
    <col min="8453" max="8453" width="13.109375" style="2" customWidth="1"/>
    <col min="8454" max="8454" width="3.6640625" style="2" customWidth="1"/>
    <col min="8455" max="8455" width="1.6640625" style="2" customWidth="1"/>
    <col min="8456" max="8456" width="8.5546875" style="2" customWidth="1"/>
    <col min="8457" max="8457" width="0.88671875" style="2" customWidth="1"/>
    <col min="8458" max="8459" width="7.77734375" style="2" customWidth="1"/>
    <col min="8460" max="8704" width="9.109375" style="2" customWidth="1"/>
    <col min="8705" max="8705" width="4.109375" style="2" customWidth="1"/>
    <col min="8706" max="8706" width="30" style="2" customWidth="1"/>
    <col min="8707" max="8707" width="9.5546875" style="2" customWidth="1"/>
    <col min="8708" max="8708" width="13" style="2" customWidth="1"/>
    <col min="8709" max="8709" width="13.109375" style="2" customWidth="1"/>
    <col min="8710" max="8710" width="3.6640625" style="2" customWidth="1"/>
    <col min="8711" max="8711" width="1.6640625" style="2" customWidth="1"/>
    <col min="8712" max="8712" width="8.5546875" style="2" customWidth="1"/>
    <col min="8713" max="8713" width="0.88671875" style="2" customWidth="1"/>
    <col min="8714" max="8715" width="7.77734375" style="2" customWidth="1"/>
    <col min="8716" max="8960" width="9.109375" style="2" customWidth="1"/>
    <col min="8961" max="8961" width="4.109375" style="2" customWidth="1"/>
    <col min="8962" max="8962" width="30" style="2" customWidth="1"/>
    <col min="8963" max="8963" width="9.5546875" style="2" customWidth="1"/>
    <col min="8964" max="8964" width="13" style="2" customWidth="1"/>
    <col min="8965" max="8965" width="13.109375" style="2" customWidth="1"/>
    <col min="8966" max="8966" width="3.6640625" style="2" customWidth="1"/>
    <col min="8967" max="8967" width="1.6640625" style="2" customWidth="1"/>
    <col min="8968" max="8968" width="8.5546875" style="2" customWidth="1"/>
    <col min="8969" max="8969" width="0.88671875" style="2" customWidth="1"/>
    <col min="8970" max="8971" width="7.77734375" style="2" customWidth="1"/>
    <col min="8972" max="9216" width="9.109375" style="2" customWidth="1"/>
    <col min="9217" max="9217" width="4.109375" style="2" customWidth="1"/>
    <col min="9218" max="9218" width="30" style="2" customWidth="1"/>
    <col min="9219" max="9219" width="9.5546875" style="2" customWidth="1"/>
    <col min="9220" max="9220" width="13" style="2" customWidth="1"/>
    <col min="9221" max="9221" width="13.109375" style="2" customWidth="1"/>
    <col min="9222" max="9222" width="3.6640625" style="2" customWidth="1"/>
    <col min="9223" max="9223" width="1.6640625" style="2" customWidth="1"/>
    <col min="9224" max="9224" width="8.5546875" style="2" customWidth="1"/>
    <col min="9225" max="9225" width="0.88671875" style="2" customWidth="1"/>
    <col min="9226" max="9227" width="7.77734375" style="2" customWidth="1"/>
    <col min="9228" max="9472" width="9.109375" style="2" customWidth="1"/>
    <col min="9473" max="9473" width="4.109375" style="2" customWidth="1"/>
    <col min="9474" max="9474" width="30" style="2" customWidth="1"/>
    <col min="9475" max="9475" width="9.5546875" style="2" customWidth="1"/>
    <col min="9476" max="9476" width="13" style="2" customWidth="1"/>
    <col min="9477" max="9477" width="13.109375" style="2" customWidth="1"/>
    <col min="9478" max="9478" width="3.6640625" style="2" customWidth="1"/>
    <col min="9479" max="9479" width="1.6640625" style="2" customWidth="1"/>
    <col min="9480" max="9480" width="8.5546875" style="2" customWidth="1"/>
    <col min="9481" max="9481" width="0.88671875" style="2" customWidth="1"/>
    <col min="9482" max="9483" width="7.77734375" style="2" customWidth="1"/>
    <col min="9484" max="9728" width="9.109375" style="2" customWidth="1"/>
    <col min="9729" max="9729" width="4.109375" style="2" customWidth="1"/>
    <col min="9730" max="9730" width="30" style="2" customWidth="1"/>
    <col min="9731" max="9731" width="9.5546875" style="2" customWidth="1"/>
    <col min="9732" max="9732" width="13" style="2" customWidth="1"/>
    <col min="9733" max="9733" width="13.109375" style="2" customWidth="1"/>
    <col min="9734" max="9734" width="3.6640625" style="2" customWidth="1"/>
    <col min="9735" max="9735" width="1.6640625" style="2" customWidth="1"/>
    <col min="9736" max="9736" width="8.5546875" style="2" customWidth="1"/>
    <col min="9737" max="9737" width="0.88671875" style="2" customWidth="1"/>
    <col min="9738" max="9739" width="7.77734375" style="2" customWidth="1"/>
    <col min="9740" max="9984" width="9.109375" style="2" customWidth="1"/>
    <col min="9985" max="9985" width="4.109375" style="2" customWidth="1"/>
    <col min="9986" max="9986" width="30" style="2" customWidth="1"/>
    <col min="9987" max="9987" width="9.5546875" style="2" customWidth="1"/>
    <col min="9988" max="9988" width="13" style="2" customWidth="1"/>
    <col min="9989" max="9989" width="13.109375" style="2" customWidth="1"/>
    <col min="9990" max="9990" width="3.6640625" style="2" customWidth="1"/>
    <col min="9991" max="9991" width="1.6640625" style="2" customWidth="1"/>
    <col min="9992" max="9992" width="8.5546875" style="2" customWidth="1"/>
    <col min="9993" max="9993" width="0.88671875" style="2" customWidth="1"/>
    <col min="9994" max="9995" width="7.77734375" style="2" customWidth="1"/>
    <col min="9996" max="10240" width="9.109375" style="2" customWidth="1"/>
    <col min="10241" max="10241" width="4.109375" style="2" customWidth="1"/>
    <col min="10242" max="10242" width="30" style="2" customWidth="1"/>
    <col min="10243" max="10243" width="9.5546875" style="2" customWidth="1"/>
    <col min="10244" max="10244" width="13" style="2" customWidth="1"/>
    <col min="10245" max="10245" width="13.109375" style="2" customWidth="1"/>
    <col min="10246" max="10246" width="3.6640625" style="2" customWidth="1"/>
    <col min="10247" max="10247" width="1.6640625" style="2" customWidth="1"/>
    <col min="10248" max="10248" width="8.5546875" style="2" customWidth="1"/>
    <col min="10249" max="10249" width="0.88671875" style="2" customWidth="1"/>
    <col min="10250" max="10251" width="7.77734375" style="2" customWidth="1"/>
    <col min="10252" max="10496" width="9.109375" style="2" customWidth="1"/>
    <col min="10497" max="10497" width="4.109375" style="2" customWidth="1"/>
    <col min="10498" max="10498" width="30" style="2" customWidth="1"/>
    <col min="10499" max="10499" width="9.5546875" style="2" customWidth="1"/>
    <col min="10500" max="10500" width="13" style="2" customWidth="1"/>
    <col min="10501" max="10501" width="13.109375" style="2" customWidth="1"/>
    <col min="10502" max="10502" width="3.6640625" style="2" customWidth="1"/>
    <col min="10503" max="10503" width="1.6640625" style="2" customWidth="1"/>
    <col min="10504" max="10504" width="8.5546875" style="2" customWidth="1"/>
    <col min="10505" max="10505" width="0.88671875" style="2" customWidth="1"/>
    <col min="10506" max="10507" width="7.77734375" style="2" customWidth="1"/>
    <col min="10508" max="10752" width="9.109375" style="2" customWidth="1"/>
    <col min="10753" max="10753" width="4.109375" style="2" customWidth="1"/>
    <col min="10754" max="10754" width="30" style="2" customWidth="1"/>
    <col min="10755" max="10755" width="9.5546875" style="2" customWidth="1"/>
    <col min="10756" max="10756" width="13" style="2" customWidth="1"/>
    <col min="10757" max="10757" width="13.109375" style="2" customWidth="1"/>
    <col min="10758" max="10758" width="3.6640625" style="2" customWidth="1"/>
    <col min="10759" max="10759" width="1.6640625" style="2" customWidth="1"/>
    <col min="10760" max="10760" width="8.5546875" style="2" customWidth="1"/>
    <col min="10761" max="10761" width="0.88671875" style="2" customWidth="1"/>
    <col min="10762" max="10763" width="7.77734375" style="2" customWidth="1"/>
    <col min="10764" max="11008" width="9.109375" style="2" customWidth="1"/>
    <col min="11009" max="11009" width="4.109375" style="2" customWidth="1"/>
    <col min="11010" max="11010" width="30" style="2" customWidth="1"/>
    <col min="11011" max="11011" width="9.5546875" style="2" customWidth="1"/>
    <col min="11012" max="11012" width="13" style="2" customWidth="1"/>
    <col min="11013" max="11013" width="13.109375" style="2" customWidth="1"/>
    <col min="11014" max="11014" width="3.6640625" style="2" customWidth="1"/>
    <col min="11015" max="11015" width="1.6640625" style="2" customWidth="1"/>
    <col min="11016" max="11016" width="8.5546875" style="2" customWidth="1"/>
    <col min="11017" max="11017" width="0.88671875" style="2" customWidth="1"/>
    <col min="11018" max="11019" width="7.77734375" style="2" customWidth="1"/>
    <col min="11020" max="11264" width="9.109375" style="2" customWidth="1"/>
    <col min="11265" max="11265" width="4.109375" style="2" customWidth="1"/>
    <col min="11266" max="11266" width="30" style="2" customWidth="1"/>
    <col min="11267" max="11267" width="9.5546875" style="2" customWidth="1"/>
    <col min="11268" max="11268" width="13" style="2" customWidth="1"/>
    <col min="11269" max="11269" width="13.109375" style="2" customWidth="1"/>
    <col min="11270" max="11270" width="3.6640625" style="2" customWidth="1"/>
    <col min="11271" max="11271" width="1.6640625" style="2" customWidth="1"/>
    <col min="11272" max="11272" width="8.5546875" style="2" customWidth="1"/>
    <col min="11273" max="11273" width="0.88671875" style="2" customWidth="1"/>
    <col min="11274" max="11275" width="7.77734375" style="2" customWidth="1"/>
    <col min="11276" max="11520" width="9.109375" style="2" customWidth="1"/>
    <col min="11521" max="11521" width="4.109375" style="2" customWidth="1"/>
    <col min="11522" max="11522" width="30" style="2" customWidth="1"/>
    <col min="11523" max="11523" width="9.5546875" style="2" customWidth="1"/>
    <col min="11524" max="11524" width="13" style="2" customWidth="1"/>
    <col min="11525" max="11525" width="13.109375" style="2" customWidth="1"/>
    <col min="11526" max="11526" width="3.6640625" style="2" customWidth="1"/>
    <col min="11527" max="11527" width="1.6640625" style="2" customWidth="1"/>
    <col min="11528" max="11528" width="8.5546875" style="2" customWidth="1"/>
    <col min="11529" max="11529" width="0.88671875" style="2" customWidth="1"/>
    <col min="11530" max="11531" width="7.77734375" style="2" customWidth="1"/>
    <col min="11532" max="11776" width="9.109375" style="2" customWidth="1"/>
    <col min="11777" max="11777" width="4.109375" style="2" customWidth="1"/>
    <col min="11778" max="11778" width="30" style="2" customWidth="1"/>
    <col min="11779" max="11779" width="9.5546875" style="2" customWidth="1"/>
    <col min="11780" max="11780" width="13" style="2" customWidth="1"/>
    <col min="11781" max="11781" width="13.109375" style="2" customWidth="1"/>
    <col min="11782" max="11782" width="3.6640625" style="2" customWidth="1"/>
    <col min="11783" max="11783" width="1.6640625" style="2" customWidth="1"/>
    <col min="11784" max="11784" width="8.5546875" style="2" customWidth="1"/>
    <col min="11785" max="11785" width="0.88671875" style="2" customWidth="1"/>
    <col min="11786" max="11787" width="7.77734375" style="2" customWidth="1"/>
    <col min="11788" max="12032" width="9.109375" style="2" customWidth="1"/>
    <col min="12033" max="12033" width="4.109375" style="2" customWidth="1"/>
    <col min="12034" max="12034" width="30" style="2" customWidth="1"/>
    <col min="12035" max="12035" width="9.5546875" style="2" customWidth="1"/>
    <col min="12036" max="12036" width="13" style="2" customWidth="1"/>
    <col min="12037" max="12037" width="13.109375" style="2" customWidth="1"/>
    <col min="12038" max="12038" width="3.6640625" style="2" customWidth="1"/>
    <col min="12039" max="12039" width="1.6640625" style="2" customWidth="1"/>
    <col min="12040" max="12040" width="8.5546875" style="2" customWidth="1"/>
    <col min="12041" max="12041" width="0.88671875" style="2" customWidth="1"/>
    <col min="12042" max="12043" width="7.77734375" style="2" customWidth="1"/>
    <col min="12044" max="12288" width="9.109375" style="2" customWidth="1"/>
    <col min="12289" max="12289" width="4.109375" style="2" customWidth="1"/>
    <col min="12290" max="12290" width="30" style="2" customWidth="1"/>
    <col min="12291" max="12291" width="9.5546875" style="2" customWidth="1"/>
    <col min="12292" max="12292" width="13" style="2" customWidth="1"/>
    <col min="12293" max="12293" width="13.109375" style="2" customWidth="1"/>
    <col min="12294" max="12294" width="3.6640625" style="2" customWidth="1"/>
    <col min="12295" max="12295" width="1.6640625" style="2" customWidth="1"/>
    <col min="12296" max="12296" width="8.5546875" style="2" customWidth="1"/>
    <col min="12297" max="12297" width="0.88671875" style="2" customWidth="1"/>
    <col min="12298" max="12299" width="7.77734375" style="2" customWidth="1"/>
    <col min="12300" max="12544" width="9.109375" style="2" customWidth="1"/>
    <col min="12545" max="12545" width="4.109375" style="2" customWidth="1"/>
    <col min="12546" max="12546" width="30" style="2" customWidth="1"/>
    <col min="12547" max="12547" width="9.5546875" style="2" customWidth="1"/>
    <col min="12548" max="12548" width="13" style="2" customWidth="1"/>
    <col min="12549" max="12549" width="13.109375" style="2" customWidth="1"/>
    <col min="12550" max="12550" width="3.6640625" style="2" customWidth="1"/>
    <col min="12551" max="12551" width="1.6640625" style="2" customWidth="1"/>
    <col min="12552" max="12552" width="8.5546875" style="2" customWidth="1"/>
    <col min="12553" max="12553" width="0.88671875" style="2" customWidth="1"/>
    <col min="12554" max="12555" width="7.77734375" style="2" customWidth="1"/>
    <col min="12556" max="12800" width="9.109375" style="2" customWidth="1"/>
    <col min="12801" max="12801" width="4.109375" style="2" customWidth="1"/>
    <col min="12802" max="12802" width="30" style="2" customWidth="1"/>
    <col min="12803" max="12803" width="9.5546875" style="2" customWidth="1"/>
    <col min="12804" max="12804" width="13" style="2" customWidth="1"/>
    <col min="12805" max="12805" width="13.109375" style="2" customWidth="1"/>
    <col min="12806" max="12806" width="3.6640625" style="2" customWidth="1"/>
    <col min="12807" max="12807" width="1.6640625" style="2" customWidth="1"/>
    <col min="12808" max="12808" width="8.5546875" style="2" customWidth="1"/>
    <col min="12809" max="12809" width="0.88671875" style="2" customWidth="1"/>
    <col min="12810" max="12811" width="7.77734375" style="2" customWidth="1"/>
    <col min="12812" max="13056" width="9.109375" style="2" customWidth="1"/>
    <col min="13057" max="13057" width="4.109375" style="2" customWidth="1"/>
    <col min="13058" max="13058" width="30" style="2" customWidth="1"/>
    <col min="13059" max="13059" width="9.5546875" style="2" customWidth="1"/>
    <col min="13060" max="13060" width="13" style="2" customWidth="1"/>
    <col min="13061" max="13061" width="13.109375" style="2" customWidth="1"/>
    <col min="13062" max="13062" width="3.6640625" style="2" customWidth="1"/>
    <col min="13063" max="13063" width="1.6640625" style="2" customWidth="1"/>
    <col min="13064" max="13064" width="8.5546875" style="2" customWidth="1"/>
    <col min="13065" max="13065" width="0.88671875" style="2" customWidth="1"/>
    <col min="13066" max="13067" width="7.77734375" style="2" customWidth="1"/>
    <col min="13068" max="13312" width="9.109375" style="2" customWidth="1"/>
    <col min="13313" max="13313" width="4.109375" style="2" customWidth="1"/>
    <col min="13314" max="13314" width="30" style="2" customWidth="1"/>
    <col min="13315" max="13315" width="9.5546875" style="2" customWidth="1"/>
    <col min="13316" max="13316" width="13" style="2" customWidth="1"/>
    <col min="13317" max="13317" width="13.109375" style="2" customWidth="1"/>
    <col min="13318" max="13318" width="3.6640625" style="2" customWidth="1"/>
    <col min="13319" max="13319" width="1.6640625" style="2" customWidth="1"/>
    <col min="13320" max="13320" width="8.5546875" style="2" customWidth="1"/>
    <col min="13321" max="13321" width="0.88671875" style="2" customWidth="1"/>
    <col min="13322" max="13323" width="7.77734375" style="2" customWidth="1"/>
    <col min="13324" max="13568" width="9.109375" style="2" customWidth="1"/>
    <col min="13569" max="13569" width="4.109375" style="2" customWidth="1"/>
    <col min="13570" max="13570" width="30" style="2" customWidth="1"/>
    <col min="13571" max="13571" width="9.5546875" style="2" customWidth="1"/>
    <col min="13572" max="13572" width="13" style="2" customWidth="1"/>
    <col min="13573" max="13573" width="13.109375" style="2" customWidth="1"/>
    <col min="13574" max="13574" width="3.6640625" style="2" customWidth="1"/>
    <col min="13575" max="13575" width="1.6640625" style="2" customWidth="1"/>
    <col min="13576" max="13576" width="8.5546875" style="2" customWidth="1"/>
    <col min="13577" max="13577" width="0.88671875" style="2" customWidth="1"/>
    <col min="13578" max="13579" width="7.77734375" style="2" customWidth="1"/>
    <col min="13580" max="13824" width="9.109375" style="2" customWidth="1"/>
    <col min="13825" max="13825" width="4.109375" style="2" customWidth="1"/>
    <col min="13826" max="13826" width="30" style="2" customWidth="1"/>
    <col min="13827" max="13827" width="9.5546875" style="2" customWidth="1"/>
    <col min="13828" max="13828" width="13" style="2" customWidth="1"/>
    <col min="13829" max="13829" width="13.109375" style="2" customWidth="1"/>
    <col min="13830" max="13830" width="3.6640625" style="2" customWidth="1"/>
    <col min="13831" max="13831" width="1.6640625" style="2" customWidth="1"/>
    <col min="13832" max="13832" width="8.5546875" style="2" customWidth="1"/>
    <col min="13833" max="13833" width="0.88671875" style="2" customWidth="1"/>
    <col min="13834" max="13835" width="7.77734375" style="2" customWidth="1"/>
    <col min="13836" max="14080" width="9.109375" style="2" customWidth="1"/>
    <col min="14081" max="14081" width="4.109375" style="2" customWidth="1"/>
    <col min="14082" max="14082" width="30" style="2" customWidth="1"/>
    <col min="14083" max="14083" width="9.5546875" style="2" customWidth="1"/>
    <col min="14084" max="14084" width="13" style="2" customWidth="1"/>
    <col min="14085" max="14085" width="13.109375" style="2" customWidth="1"/>
    <col min="14086" max="14086" width="3.6640625" style="2" customWidth="1"/>
    <col min="14087" max="14087" width="1.6640625" style="2" customWidth="1"/>
    <col min="14088" max="14088" width="8.5546875" style="2" customWidth="1"/>
    <col min="14089" max="14089" width="0.88671875" style="2" customWidth="1"/>
    <col min="14090" max="14091" width="7.77734375" style="2" customWidth="1"/>
    <col min="14092" max="14336" width="9.109375" style="2" customWidth="1"/>
    <col min="14337" max="14337" width="4.109375" style="2" customWidth="1"/>
    <col min="14338" max="14338" width="30" style="2" customWidth="1"/>
    <col min="14339" max="14339" width="9.5546875" style="2" customWidth="1"/>
    <col min="14340" max="14340" width="13" style="2" customWidth="1"/>
    <col min="14341" max="14341" width="13.109375" style="2" customWidth="1"/>
    <col min="14342" max="14342" width="3.6640625" style="2" customWidth="1"/>
    <col min="14343" max="14343" width="1.6640625" style="2" customWidth="1"/>
    <col min="14344" max="14344" width="8.5546875" style="2" customWidth="1"/>
    <col min="14345" max="14345" width="0.88671875" style="2" customWidth="1"/>
    <col min="14346" max="14347" width="7.77734375" style="2" customWidth="1"/>
    <col min="14348" max="14592" width="9.109375" style="2" customWidth="1"/>
    <col min="14593" max="14593" width="4.109375" style="2" customWidth="1"/>
    <col min="14594" max="14594" width="30" style="2" customWidth="1"/>
    <col min="14595" max="14595" width="9.5546875" style="2" customWidth="1"/>
    <col min="14596" max="14596" width="13" style="2" customWidth="1"/>
    <col min="14597" max="14597" width="13.109375" style="2" customWidth="1"/>
    <col min="14598" max="14598" width="3.6640625" style="2" customWidth="1"/>
    <col min="14599" max="14599" width="1.6640625" style="2" customWidth="1"/>
    <col min="14600" max="14600" width="8.5546875" style="2" customWidth="1"/>
    <col min="14601" max="14601" width="0.88671875" style="2" customWidth="1"/>
    <col min="14602" max="14603" width="7.77734375" style="2" customWidth="1"/>
    <col min="14604" max="14848" width="9.109375" style="2" customWidth="1"/>
    <col min="14849" max="14849" width="4.109375" style="2" customWidth="1"/>
    <col min="14850" max="14850" width="30" style="2" customWidth="1"/>
    <col min="14851" max="14851" width="9.5546875" style="2" customWidth="1"/>
    <col min="14852" max="14852" width="13" style="2" customWidth="1"/>
    <col min="14853" max="14853" width="13.109375" style="2" customWidth="1"/>
    <col min="14854" max="14854" width="3.6640625" style="2" customWidth="1"/>
    <col min="14855" max="14855" width="1.6640625" style="2" customWidth="1"/>
    <col min="14856" max="14856" width="8.5546875" style="2" customWidth="1"/>
    <col min="14857" max="14857" width="0.88671875" style="2" customWidth="1"/>
    <col min="14858" max="14859" width="7.77734375" style="2" customWidth="1"/>
    <col min="14860" max="15104" width="9.109375" style="2" customWidth="1"/>
    <col min="15105" max="15105" width="4.109375" style="2" customWidth="1"/>
    <col min="15106" max="15106" width="30" style="2" customWidth="1"/>
    <col min="15107" max="15107" width="9.5546875" style="2" customWidth="1"/>
    <col min="15108" max="15108" width="13" style="2" customWidth="1"/>
    <col min="15109" max="15109" width="13.109375" style="2" customWidth="1"/>
    <col min="15110" max="15110" width="3.6640625" style="2" customWidth="1"/>
    <col min="15111" max="15111" width="1.6640625" style="2" customWidth="1"/>
    <col min="15112" max="15112" width="8.5546875" style="2" customWidth="1"/>
    <col min="15113" max="15113" width="0.88671875" style="2" customWidth="1"/>
    <col min="15114" max="15115" width="7.77734375" style="2" customWidth="1"/>
    <col min="15116" max="15360" width="9.109375" style="2" customWidth="1"/>
    <col min="15361" max="15361" width="4.109375" style="2" customWidth="1"/>
    <col min="15362" max="15362" width="30" style="2" customWidth="1"/>
    <col min="15363" max="15363" width="9.5546875" style="2" customWidth="1"/>
    <col min="15364" max="15364" width="13" style="2" customWidth="1"/>
    <col min="15365" max="15365" width="13.109375" style="2" customWidth="1"/>
    <col min="15366" max="15366" width="3.6640625" style="2" customWidth="1"/>
    <col min="15367" max="15367" width="1.6640625" style="2" customWidth="1"/>
    <col min="15368" max="15368" width="8.5546875" style="2" customWidth="1"/>
    <col min="15369" max="15369" width="0.88671875" style="2" customWidth="1"/>
    <col min="15370" max="15371" width="7.77734375" style="2" customWidth="1"/>
    <col min="15372" max="15616" width="9.109375" style="2" customWidth="1"/>
    <col min="15617" max="15617" width="4.109375" style="2" customWidth="1"/>
    <col min="15618" max="15618" width="30" style="2" customWidth="1"/>
    <col min="15619" max="15619" width="9.5546875" style="2" customWidth="1"/>
    <col min="15620" max="15620" width="13" style="2" customWidth="1"/>
    <col min="15621" max="15621" width="13.109375" style="2" customWidth="1"/>
    <col min="15622" max="15622" width="3.6640625" style="2" customWidth="1"/>
    <col min="15623" max="15623" width="1.6640625" style="2" customWidth="1"/>
    <col min="15624" max="15624" width="8.5546875" style="2" customWidth="1"/>
    <col min="15625" max="15625" width="0.88671875" style="2" customWidth="1"/>
    <col min="15626" max="15627" width="7.77734375" style="2" customWidth="1"/>
    <col min="15628" max="15872" width="9.109375" style="2" customWidth="1"/>
    <col min="15873" max="15873" width="4.109375" style="2" customWidth="1"/>
    <col min="15874" max="15874" width="30" style="2" customWidth="1"/>
    <col min="15875" max="15875" width="9.5546875" style="2" customWidth="1"/>
    <col min="15876" max="15876" width="13" style="2" customWidth="1"/>
    <col min="15877" max="15877" width="13.109375" style="2" customWidth="1"/>
    <col min="15878" max="15878" width="3.6640625" style="2" customWidth="1"/>
    <col min="15879" max="15879" width="1.6640625" style="2" customWidth="1"/>
    <col min="15880" max="15880" width="8.5546875" style="2" customWidth="1"/>
    <col min="15881" max="15881" width="0.88671875" style="2" customWidth="1"/>
    <col min="15882" max="15883" width="7.77734375" style="2" customWidth="1"/>
    <col min="15884" max="16128" width="9.109375" style="2" customWidth="1"/>
    <col min="16129" max="16129" width="4.109375" style="2" customWidth="1"/>
    <col min="16130" max="16130" width="30" style="2" customWidth="1"/>
    <col min="16131" max="16131" width="9.5546875" style="2" customWidth="1"/>
    <col min="16132" max="16132" width="13" style="2" customWidth="1"/>
    <col min="16133" max="16133" width="13.109375" style="2" customWidth="1"/>
    <col min="16134" max="16134" width="3.6640625" style="2" customWidth="1"/>
    <col min="16135" max="16135" width="1.6640625" style="2" customWidth="1"/>
    <col min="16136" max="16136" width="8.5546875" style="2" customWidth="1"/>
    <col min="16137" max="16137" width="0.88671875" style="2" customWidth="1"/>
    <col min="16138" max="16139" width="7.77734375" style="2" customWidth="1"/>
    <col min="16140" max="16384" width="9.109375" style="2" customWidth="1"/>
  </cols>
  <sheetData>
    <row r="1" spans="1:16" ht="6.75" customHeight="1" x14ac:dyDescent="0.25">
      <c r="A1" s="9"/>
      <c r="B1" s="9"/>
      <c r="C1" s="9"/>
      <c r="D1" s="9"/>
      <c r="E1" s="9"/>
      <c r="F1" s="9"/>
      <c r="G1" s="9"/>
      <c r="H1" s="9"/>
      <c r="I1" s="9"/>
      <c r="J1" s="9"/>
      <c r="K1" s="10"/>
      <c r="L1" s="11"/>
      <c r="M1" s="10"/>
      <c r="N1" s="12"/>
    </row>
    <row r="2" spans="1:16" ht="17.399999999999999" customHeight="1" x14ac:dyDescent="0.25">
      <c r="B2" s="4"/>
      <c r="C2" s="4" t="s">
        <v>73</v>
      </c>
      <c r="D2" s="13" t="s">
        <v>74</v>
      </c>
      <c r="E2" s="207" t="s">
        <v>73</v>
      </c>
      <c r="F2" s="202"/>
      <c r="G2" s="4"/>
      <c r="H2" s="109">
        <v>6</v>
      </c>
      <c r="I2" s="203" t="s">
        <v>75</v>
      </c>
      <c r="J2" s="202"/>
      <c r="K2" s="204"/>
      <c r="L2" s="205"/>
      <c r="M2" s="204"/>
      <c r="N2" s="206"/>
    </row>
    <row r="3" spans="1:16" ht="19.2" customHeight="1" x14ac:dyDescent="0.3">
      <c r="B3" s="14"/>
      <c r="C3" s="108">
        <v>46388</v>
      </c>
      <c r="D3" s="15" t="s">
        <v>76</v>
      </c>
      <c r="E3" s="214">
        <v>46752</v>
      </c>
      <c r="F3" s="209"/>
      <c r="G3" s="4"/>
      <c r="H3" s="109">
        <v>138</v>
      </c>
      <c r="I3" s="210" t="s">
        <v>77</v>
      </c>
      <c r="J3" s="202"/>
      <c r="K3" s="204"/>
      <c r="L3" s="205"/>
      <c r="M3" s="204"/>
      <c r="N3" s="206"/>
    </row>
    <row r="4" spans="1:16" ht="6.3" customHeight="1" x14ac:dyDescent="0.25">
      <c r="A4" s="16"/>
      <c r="B4" s="16"/>
      <c r="C4" s="16"/>
      <c r="D4" s="16"/>
      <c r="E4" s="16"/>
      <c r="F4" s="16"/>
      <c r="G4" s="16"/>
      <c r="H4" s="3"/>
      <c r="I4" s="16"/>
      <c r="J4" s="16"/>
      <c r="K4" s="17"/>
      <c r="L4" s="18"/>
      <c r="M4" s="17"/>
      <c r="N4" s="19"/>
    </row>
    <row r="5" spans="1:16" s="6" customFormat="1" ht="60" customHeight="1" x14ac:dyDescent="0.3">
      <c r="A5" s="17"/>
      <c r="B5" s="17"/>
      <c r="C5" s="208" t="s">
        <v>78</v>
      </c>
      <c r="D5" s="209"/>
      <c r="E5" s="10" t="s">
        <v>79</v>
      </c>
      <c r="F5" s="10" t="s">
        <v>80</v>
      </c>
      <c r="G5" s="17"/>
      <c r="H5" s="10" t="s">
        <v>81</v>
      </c>
      <c r="I5" s="90" t="s">
        <v>82</v>
      </c>
      <c r="J5" s="10"/>
      <c r="K5" s="11" t="s">
        <v>83</v>
      </c>
      <c r="L5" s="10" t="s">
        <v>84</v>
      </c>
      <c r="M5" s="90" t="s">
        <v>85</v>
      </c>
      <c r="N5" s="20" t="s">
        <v>86</v>
      </c>
      <c r="O5" s="20" t="s">
        <v>87</v>
      </c>
      <c r="P5" s="6" t="s">
        <v>88</v>
      </c>
    </row>
    <row r="6" spans="1:16" ht="6.3" customHeight="1" x14ac:dyDescent="0.25">
      <c r="A6" s="21"/>
      <c r="B6" s="21"/>
      <c r="C6" s="21"/>
      <c r="D6" s="22"/>
      <c r="E6" s="23"/>
      <c r="F6" s="16"/>
      <c r="G6" s="16"/>
      <c r="H6" s="17"/>
      <c r="I6" s="16"/>
      <c r="J6" s="10"/>
      <c r="K6" s="18"/>
      <c r="L6" s="16"/>
      <c r="M6" s="16"/>
      <c r="N6" s="19"/>
      <c r="O6" s="19"/>
    </row>
    <row r="7" spans="1:16" s="6" customFormat="1" ht="14.4" customHeight="1" x14ac:dyDescent="0.3">
      <c r="A7" s="123"/>
      <c r="B7" s="124"/>
      <c r="C7" s="125" t="s">
        <v>89</v>
      </c>
      <c r="D7" s="26"/>
      <c r="E7" s="27"/>
      <c r="F7" s="25">
        <f>IF(OR($H$3="",$H$3=0),"",F11/$H$3/4)</f>
        <v>0</v>
      </c>
      <c r="G7" s="26"/>
      <c r="H7" s="25"/>
      <c r="I7" s="126">
        <f>IF(OR($H$3="",$H$3=0),"",I11/$H$3/4)</f>
        <v>18.115942028985508</v>
      </c>
      <c r="J7" s="27"/>
      <c r="K7" s="28"/>
      <c r="L7" s="126">
        <f>IF(OR($H$3="",$H$3=0),"",L11/$H$3/4)</f>
        <v>18.115942028985508</v>
      </c>
      <c r="M7" s="29">
        <f>IF(N7="","",N7/3)</f>
        <v>6.0386473429951693</v>
      </c>
      <c r="N7" s="29">
        <f>IF(OR(F7="",L7=""),"",L7-F7)</f>
        <v>18.115942028985508</v>
      </c>
      <c r="O7" s="29">
        <f>IF(N7="","",N7*4)</f>
        <v>72.463768115942031</v>
      </c>
      <c r="P7" s="30" t="str">
        <f>IF(OR(F7="",F7=0),"",L7/F7-100%)</f>
        <v/>
      </c>
    </row>
    <row r="8" spans="1:16" ht="6.3" customHeight="1" x14ac:dyDescent="0.25">
      <c r="B8" s="31"/>
      <c r="C8" s="32"/>
      <c r="D8" s="16"/>
      <c r="E8" s="3"/>
      <c r="F8" s="33"/>
      <c r="G8" s="17"/>
      <c r="H8" s="34"/>
      <c r="I8" s="35"/>
      <c r="J8" s="36"/>
      <c r="K8" s="37"/>
      <c r="L8" s="35"/>
      <c r="M8" s="38"/>
      <c r="N8" s="38"/>
    </row>
    <row r="9" spans="1:16" ht="14.4" customHeight="1" x14ac:dyDescent="0.25">
      <c r="B9" s="39" t="s">
        <v>90</v>
      </c>
      <c r="C9" s="39" t="s">
        <v>91</v>
      </c>
      <c r="D9" s="40"/>
      <c r="E9" s="41"/>
      <c r="F9" s="24"/>
      <c r="G9" s="24"/>
      <c r="H9" s="26"/>
      <c r="I9" s="24"/>
      <c r="J9" s="27"/>
      <c r="K9" s="42"/>
      <c r="L9" s="24"/>
      <c r="M9" s="19"/>
      <c r="N9" s="19"/>
    </row>
    <row r="10" spans="1:16" ht="5.7" customHeight="1" x14ac:dyDescent="0.25">
      <c r="A10" s="21"/>
      <c r="B10" s="21"/>
      <c r="C10" s="21"/>
      <c r="D10" s="22"/>
      <c r="E10" s="23"/>
      <c r="F10" s="16"/>
      <c r="G10" s="16"/>
      <c r="H10" s="17"/>
      <c r="I10" s="16"/>
      <c r="J10" s="10"/>
      <c r="K10" s="18"/>
      <c r="L10" s="16"/>
      <c r="M10" s="19"/>
      <c r="N10" s="19"/>
    </row>
    <row r="11" spans="1:16" ht="14.4" customHeight="1" x14ac:dyDescent="0.25">
      <c r="A11" s="16" t="s">
        <v>92</v>
      </c>
      <c r="B11" s="110">
        <v>1000</v>
      </c>
      <c r="C11" s="111" t="s">
        <v>92</v>
      </c>
      <c r="D11" s="112">
        <v>0</v>
      </c>
      <c r="E11" s="43">
        <f t="shared" ref="E11:E20" si="0">IF(OR($H$2="",$H$2&lt;=0,$H$2&gt;12),"",(D11/$H$2)*12)</f>
        <v>0</v>
      </c>
      <c r="F11" s="118">
        <v>0</v>
      </c>
      <c r="G11" s="11"/>
      <c r="H11" s="11"/>
      <c r="I11" s="43">
        <f>I86-SUM(I12:I20)</f>
        <v>10000</v>
      </c>
      <c r="J11" s="10"/>
      <c r="K11" s="11" t="s">
        <v>92</v>
      </c>
      <c r="L11" s="88">
        <f>L86-SUM(L12:L20)</f>
        <v>10000</v>
      </c>
      <c r="M11" s="20"/>
      <c r="N11" s="44"/>
    </row>
    <row r="12" spans="1:16" ht="14.4" customHeight="1" x14ac:dyDescent="0.25">
      <c r="A12" s="16"/>
      <c r="B12" s="110">
        <v>1010</v>
      </c>
      <c r="C12" s="111" t="s">
        <v>92</v>
      </c>
      <c r="D12" s="112">
        <v>0</v>
      </c>
      <c r="E12" s="43">
        <f t="shared" si="0"/>
        <v>0</v>
      </c>
      <c r="F12" s="118">
        <v>0</v>
      </c>
      <c r="G12" s="11"/>
      <c r="H12" s="11"/>
      <c r="I12" s="177">
        <v>0</v>
      </c>
      <c r="J12" s="10"/>
      <c r="K12" s="11"/>
      <c r="L12" s="88">
        <f t="shared" ref="L12:L20" si="1">I12</f>
        <v>0</v>
      </c>
      <c r="M12" s="20"/>
      <c r="N12" s="44"/>
    </row>
    <row r="13" spans="1:16" ht="14.4" customHeight="1" x14ac:dyDescent="0.25">
      <c r="A13" s="45"/>
      <c r="B13" s="110">
        <v>1020</v>
      </c>
      <c r="C13" s="111" t="s">
        <v>92</v>
      </c>
      <c r="D13" s="112">
        <v>0</v>
      </c>
      <c r="E13" s="43">
        <f t="shared" si="0"/>
        <v>0</v>
      </c>
      <c r="F13" s="119">
        <v>0</v>
      </c>
      <c r="G13" s="11"/>
      <c r="H13" s="11"/>
      <c r="I13" s="46">
        <v>0</v>
      </c>
      <c r="J13" s="10"/>
      <c r="K13" s="11"/>
      <c r="L13" s="89">
        <f t="shared" si="1"/>
        <v>0</v>
      </c>
      <c r="M13" s="20"/>
      <c r="N13" s="44"/>
    </row>
    <row r="14" spans="1:16" ht="14.4" customHeight="1" x14ac:dyDescent="0.25">
      <c r="A14" s="16"/>
      <c r="B14" s="110">
        <v>1030</v>
      </c>
      <c r="C14" s="111" t="s">
        <v>92</v>
      </c>
      <c r="D14" s="112">
        <v>0</v>
      </c>
      <c r="E14" s="43">
        <f t="shared" si="0"/>
        <v>0</v>
      </c>
      <c r="F14" s="119">
        <v>0</v>
      </c>
      <c r="G14" s="11"/>
      <c r="H14" s="11"/>
      <c r="I14" s="46">
        <v>0</v>
      </c>
      <c r="J14" s="10"/>
      <c r="K14" s="11"/>
      <c r="L14" s="89">
        <f t="shared" si="1"/>
        <v>0</v>
      </c>
      <c r="M14" s="20"/>
      <c r="N14" s="44"/>
    </row>
    <row r="15" spans="1:16" ht="14.4" customHeight="1" x14ac:dyDescent="0.25">
      <c r="A15" s="45"/>
      <c r="B15" s="110">
        <v>1040</v>
      </c>
      <c r="C15" s="111" t="s">
        <v>92</v>
      </c>
      <c r="D15" s="112">
        <v>0</v>
      </c>
      <c r="E15" s="43">
        <f t="shared" si="0"/>
        <v>0</v>
      </c>
      <c r="F15" s="119">
        <v>0</v>
      </c>
      <c r="G15" s="11"/>
      <c r="H15" s="11"/>
      <c r="I15" s="46">
        <v>0</v>
      </c>
      <c r="J15" s="10"/>
      <c r="K15" s="11"/>
      <c r="L15" s="89">
        <f t="shared" si="1"/>
        <v>0</v>
      </c>
      <c r="M15" s="20"/>
      <c r="N15" s="44"/>
    </row>
    <row r="16" spans="1:16" ht="14.4" customHeight="1" x14ac:dyDescent="0.25">
      <c r="A16" s="45"/>
      <c r="B16" s="110">
        <v>1050</v>
      </c>
      <c r="C16" s="127" t="s">
        <v>92</v>
      </c>
      <c r="D16" s="112">
        <v>0</v>
      </c>
      <c r="E16" s="43">
        <f t="shared" si="0"/>
        <v>0</v>
      </c>
      <c r="F16" s="119">
        <v>0</v>
      </c>
      <c r="G16" s="11"/>
      <c r="H16" s="11"/>
      <c r="I16" s="46">
        <v>0</v>
      </c>
      <c r="J16" s="10"/>
      <c r="K16" s="11"/>
      <c r="L16" s="89">
        <f t="shared" si="1"/>
        <v>0</v>
      </c>
      <c r="M16" s="20"/>
      <c r="N16" s="44"/>
    </row>
    <row r="17" spans="1:14" ht="14.4" customHeight="1" x14ac:dyDescent="0.25">
      <c r="A17" s="45"/>
      <c r="B17" s="110">
        <v>1060</v>
      </c>
      <c r="C17" s="111"/>
      <c r="D17" s="112">
        <v>0</v>
      </c>
      <c r="E17" s="43">
        <f t="shared" si="0"/>
        <v>0</v>
      </c>
      <c r="F17" s="119">
        <v>0</v>
      </c>
      <c r="G17" s="11"/>
      <c r="H17" s="11"/>
      <c r="I17" s="46">
        <v>0</v>
      </c>
      <c r="J17" s="10"/>
      <c r="K17" s="11"/>
      <c r="L17" s="89">
        <f t="shared" si="1"/>
        <v>0</v>
      </c>
      <c r="M17" s="20"/>
      <c r="N17" s="44"/>
    </row>
    <row r="18" spans="1:14" ht="14.4" customHeight="1" x14ac:dyDescent="0.25">
      <c r="A18" s="45"/>
      <c r="B18" s="110">
        <v>1070</v>
      </c>
      <c r="C18" s="111"/>
      <c r="D18" s="112">
        <v>0</v>
      </c>
      <c r="E18" s="43">
        <f t="shared" si="0"/>
        <v>0</v>
      </c>
      <c r="F18" s="119">
        <v>0</v>
      </c>
      <c r="G18" s="11"/>
      <c r="H18" s="11"/>
      <c r="I18" s="46">
        <v>0</v>
      </c>
      <c r="J18" s="10"/>
      <c r="K18" s="11"/>
      <c r="L18" s="89">
        <f t="shared" si="1"/>
        <v>0</v>
      </c>
      <c r="M18" s="20"/>
      <c r="N18" s="44"/>
    </row>
    <row r="19" spans="1:14" ht="14.4" customHeight="1" x14ac:dyDescent="0.25">
      <c r="A19" s="45"/>
      <c r="B19" s="110">
        <v>1080</v>
      </c>
      <c r="C19" s="111"/>
      <c r="D19" s="112">
        <v>0</v>
      </c>
      <c r="E19" s="43">
        <f t="shared" si="0"/>
        <v>0</v>
      </c>
      <c r="F19" s="119">
        <v>0</v>
      </c>
      <c r="G19" s="11"/>
      <c r="H19" s="11"/>
      <c r="I19" s="46">
        <v>0</v>
      </c>
      <c r="J19" s="10"/>
      <c r="K19" s="11"/>
      <c r="L19" s="89">
        <f t="shared" si="1"/>
        <v>0</v>
      </c>
      <c r="M19" s="20"/>
      <c r="N19" s="44"/>
    </row>
    <row r="20" spans="1:14" ht="14.4" customHeight="1" x14ac:dyDescent="0.25">
      <c r="A20" s="16"/>
      <c r="B20" s="110">
        <v>1090</v>
      </c>
      <c r="C20" s="111"/>
      <c r="D20" s="112">
        <v>0</v>
      </c>
      <c r="E20" s="43">
        <f t="shared" si="0"/>
        <v>0</v>
      </c>
      <c r="F20" s="119">
        <v>0</v>
      </c>
      <c r="G20" s="11"/>
      <c r="H20" s="11"/>
      <c r="I20" s="46">
        <v>0</v>
      </c>
      <c r="J20" s="10"/>
      <c r="K20" s="11"/>
      <c r="L20" s="89">
        <f t="shared" si="1"/>
        <v>0</v>
      </c>
      <c r="M20" s="20"/>
      <c r="N20" s="44"/>
    </row>
    <row r="21" spans="1:14" ht="6.3" customHeight="1" x14ac:dyDescent="0.25">
      <c r="A21" s="16"/>
      <c r="B21" s="16"/>
      <c r="C21" s="16"/>
      <c r="D21" s="16"/>
      <c r="E21" s="16"/>
      <c r="F21" s="16"/>
      <c r="G21" s="16"/>
      <c r="H21" s="11"/>
      <c r="I21" s="16"/>
      <c r="J21" s="10"/>
      <c r="K21" s="18"/>
      <c r="L21" s="16"/>
      <c r="M21" s="19"/>
      <c r="N21" s="19"/>
    </row>
    <row r="22" spans="1:14" ht="14.4" customHeight="1" x14ac:dyDescent="0.25">
      <c r="A22" s="21" t="s">
        <v>92</v>
      </c>
      <c r="B22" s="21"/>
      <c r="C22" s="47" t="s">
        <v>99</v>
      </c>
      <c r="D22" s="48">
        <f>SUM(D11:D20)</f>
        <v>0</v>
      </c>
      <c r="E22" s="48">
        <f>SUM(E11:E20)</f>
        <v>0</v>
      </c>
      <c r="F22" s="48">
        <f>SUM(F11:F20)</f>
        <v>0</v>
      </c>
      <c r="G22" s="11"/>
      <c r="H22" s="11"/>
      <c r="I22" s="48">
        <f>SUM(I11:I20)</f>
        <v>10000</v>
      </c>
      <c r="J22" s="10"/>
      <c r="K22" s="11"/>
      <c r="L22" s="48">
        <f>SUM(L11:L20)</f>
        <v>10000</v>
      </c>
      <c r="M22" s="20" t="str">
        <f>IF(OR(F22="",F22=0),"",L22/F22-100%)</f>
        <v/>
      </c>
      <c r="N22" s="44"/>
    </row>
    <row r="23" spans="1:14" ht="4.8" customHeight="1" x14ac:dyDescent="0.25">
      <c r="A23" s="16"/>
      <c r="B23" s="16"/>
      <c r="C23" s="16"/>
      <c r="D23" s="16"/>
      <c r="E23" s="16"/>
      <c r="F23" s="16"/>
      <c r="G23" s="16"/>
      <c r="H23" s="11"/>
      <c r="I23" s="16"/>
      <c r="J23" s="10"/>
      <c r="K23" s="18"/>
      <c r="L23" s="16"/>
      <c r="M23" s="19"/>
      <c r="N23" s="19"/>
    </row>
    <row r="24" spans="1:14" ht="14.4" customHeight="1" x14ac:dyDescent="0.25">
      <c r="A24" s="49" t="s">
        <v>92</v>
      </c>
      <c r="B24" s="50" t="s">
        <v>90</v>
      </c>
      <c r="C24" s="50" t="s">
        <v>100</v>
      </c>
      <c r="D24" s="51"/>
      <c r="E24" s="52"/>
      <c r="F24" s="53"/>
      <c r="G24" s="53"/>
      <c r="H24" s="54"/>
      <c r="I24" s="53"/>
      <c r="J24" s="55"/>
      <c r="K24" s="56"/>
      <c r="L24" s="53"/>
      <c r="M24" s="19"/>
      <c r="N24" s="19"/>
    </row>
    <row r="25" spans="1:14" ht="6.75" customHeight="1" x14ac:dyDescent="0.25">
      <c r="A25" s="21"/>
      <c r="B25" s="21"/>
      <c r="C25" s="21"/>
      <c r="D25" s="22"/>
      <c r="E25" s="57"/>
      <c r="F25" s="16"/>
      <c r="G25" s="16"/>
      <c r="H25" s="11"/>
      <c r="I25" s="16"/>
      <c r="J25" s="10"/>
      <c r="K25" s="18"/>
      <c r="L25" s="16"/>
      <c r="M25" s="19"/>
      <c r="N25" s="19"/>
    </row>
    <row r="26" spans="1:14" ht="14.4" customHeight="1" x14ac:dyDescent="0.25">
      <c r="A26" s="21" t="s">
        <v>92</v>
      </c>
      <c r="B26" s="110">
        <v>5000</v>
      </c>
      <c r="C26" s="111" t="s">
        <v>92</v>
      </c>
      <c r="D26" s="165">
        <v>0</v>
      </c>
      <c r="E26" s="43">
        <f t="shared" ref="E26:E35" si="2">IF(OR($H$2="",$H$2&lt;=0,$H$2&gt;12),"",(D26/$H$2)*12)</f>
        <v>0</v>
      </c>
      <c r="F26" s="120">
        <v>0</v>
      </c>
      <c r="G26" s="11"/>
      <c r="H26" s="113">
        <v>0</v>
      </c>
      <c r="I26" s="43">
        <f t="shared" ref="I26:I35" si="3">F26+(F26*H26)</f>
        <v>0</v>
      </c>
      <c r="J26" s="10"/>
      <c r="K26" s="114">
        <v>0</v>
      </c>
      <c r="L26" s="88">
        <f t="shared" ref="L26:L35" si="4">I26+K26</f>
        <v>0</v>
      </c>
      <c r="M26" s="20" t="str">
        <f t="shared" ref="M26:M35" si="5">IF(OR(F26="",F26=0),"",L26/F26-100%)</f>
        <v/>
      </c>
      <c r="N26" s="59">
        <f t="shared" ref="N26:N35" si="6">L26-F26</f>
        <v>0</v>
      </c>
    </row>
    <row r="27" spans="1:14" ht="14.4" customHeight="1" x14ac:dyDescent="0.25">
      <c r="A27" s="45"/>
      <c r="B27" s="110">
        <v>5010</v>
      </c>
      <c r="C27" s="111" t="s">
        <v>92</v>
      </c>
      <c r="D27" s="112">
        <v>0</v>
      </c>
      <c r="E27" s="43">
        <f t="shared" si="2"/>
        <v>0</v>
      </c>
      <c r="F27" s="120">
        <v>0</v>
      </c>
      <c r="G27" s="11"/>
      <c r="H27" s="113">
        <v>0</v>
      </c>
      <c r="I27" s="43">
        <f t="shared" si="3"/>
        <v>0</v>
      </c>
      <c r="J27" s="10"/>
      <c r="K27" s="114">
        <v>0</v>
      </c>
      <c r="L27" s="88">
        <f t="shared" si="4"/>
        <v>0</v>
      </c>
      <c r="M27" s="20" t="str">
        <f t="shared" si="5"/>
        <v/>
      </c>
      <c r="N27" s="59">
        <f t="shared" si="6"/>
        <v>0</v>
      </c>
    </row>
    <row r="28" spans="1:14" ht="14.4" customHeight="1" x14ac:dyDescent="0.25">
      <c r="A28" s="16"/>
      <c r="B28" s="110">
        <v>5020</v>
      </c>
      <c r="C28" s="111" t="s">
        <v>92</v>
      </c>
      <c r="D28" s="112">
        <v>0</v>
      </c>
      <c r="E28" s="43">
        <f t="shared" si="2"/>
        <v>0</v>
      </c>
      <c r="F28" s="120">
        <v>0</v>
      </c>
      <c r="G28" s="11"/>
      <c r="H28" s="113">
        <v>0</v>
      </c>
      <c r="I28" s="43">
        <f t="shared" si="3"/>
        <v>0</v>
      </c>
      <c r="J28" s="10"/>
      <c r="K28" s="114">
        <v>0</v>
      </c>
      <c r="L28" s="88">
        <f t="shared" si="4"/>
        <v>0</v>
      </c>
      <c r="M28" s="20" t="str">
        <f t="shared" si="5"/>
        <v/>
      </c>
      <c r="N28" s="59">
        <f t="shared" si="6"/>
        <v>0</v>
      </c>
    </row>
    <row r="29" spans="1:14" ht="14.4" customHeight="1" x14ac:dyDescent="0.25">
      <c r="A29" s="45"/>
      <c r="B29" s="110">
        <v>5030</v>
      </c>
      <c r="C29" s="111" t="s">
        <v>92</v>
      </c>
      <c r="D29" s="112">
        <v>0</v>
      </c>
      <c r="E29" s="43">
        <f t="shared" si="2"/>
        <v>0</v>
      </c>
      <c r="F29" s="120">
        <v>0</v>
      </c>
      <c r="G29" s="11"/>
      <c r="H29" s="113">
        <v>0</v>
      </c>
      <c r="I29" s="43">
        <f t="shared" si="3"/>
        <v>0</v>
      </c>
      <c r="J29" s="10"/>
      <c r="K29" s="114">
        <v>0</v>
      </c>
      <c r="L29" s="88">
        <f t="shared" si="4"/>
        <v>0</v>
      </c>
      <c r="M29" s="20" t="str">
        <f t="shared" si="5"/>
        <v/>
      </c>
      <c r="N29" s="59">
        <f t="shared" si="6"/>
        <v>0</v>
      </c>
    </row>
    <row r="30" spans="1:14" ht="14.4" customHeight="1" x14ac:dyDescent="0.25">
      <c r="A30" s="16"/>
      <c r="B30" s="110">
        <v>5040</v>
      </c>
      <c r="C30" s="111" t="s">
        <v>92</v>
      </c>
      <c r="D30" s="112">
        <v>0</v>
      </c>
      <c r="E30" s="43">
        <f t="shared" si="2"/>
        <v>0</v>
      </c>
      <c r="F30" s="120">
        <v>0</v>
      </c>
      <c r="G30" s="11"/>
      <c r="H30" s="113">
        <v>0</v>
      </c>
      <c r="I30" s="43">
        <f t="shared" si="3"/>
        <v>0</v>
      </c>
      <c r="J30" s="10"/>
      <c r="K30" s="114">
        <v>0</v>
      </c>
      <c r="L30" s="88">
        <f t="shared" si="4"/>
        <v>0</v>
      </c>
      <c r="M30" s="20" t="str">
        <f t="shared" si="5"/>
        <v/>
      </c>
      <c r="N30" s="59">
        <f t="shared" si="6"/>
        <v>0</v>
      </c>
    </row>
    <row r="31" spans="1:14" ht="14.4" customHeight="1" x14ac:dyDescent="0.25">
      <c r="A31" s="45"/>
      <c r="B31" s="110">
        <v>5050</v>
      </c>
      <c r="C31" s="111" t="s">
        <v>92</v>
      </c>
      <c r="D31" s="112">
        <v>0</v>
      </c>
      <c r="E31" s="43">
        <f t="shared" si="2"/>
        <v>0</v>
      </c>
      <c r="F31" s="120">
        <v>0</v>
      </c>
      <c r="G31" s="11"/>
      <c r="H31" s="113">
        <v>0</v>
      </c>
      <c r="I31" s="43">
        <f t="shared" si="3"/>
        <v>0</v>
      </c>
      <c r="J31" s="10"/>
      <c r="K31" s="114">
        <v>0</v>
      </c>
      <c r="L31" s="88">
        <f t="shared" si="4"/>
        <v>0</v>
      </c>
      <c r="M31" s="20" t="str">
        <f t="shared" si="5"/>
        <v/>
      </c>
      <c r="N31" s="59">
        <f t="shared" si="6"/>
        <v>0</v>
      </c>
    </row>
    <row r="32" spans="1:14" ht="14.4" customHeight="1" x14ac:dyDescent="0.25">
      <c r="A32" s="16"/>
      <c r="B32" s="110">
        <v>5060</v>
      </c>
      <c r="C32" s="111" t="s">
        <v>92</v>
      </c>
      <c r="D32" s="112">
        <v>0</v>
      </c>
      <c r="E32" s="43">
        <f t="shared" si="2"/>
        <v>0</v>
      </c>
      <c r="F32" s="120">
        <v>0</v>
      </c>
      <c r="G32" s="11"/>
      <c r="H32" s="113">
        <v>0</v>
      </c>
      <c r="I32" s="43">
        <f t="shared" si="3"/>
        <v>0</v>
      </c>
      <c r="J32" s="10"/>
      <c r="K32" s="114">
        <v>0</v>
      </c>
      <c r="L32" s="88">
        <f t="shared" si="4"/>
        <v>0</v>
      </c>
      <c r="M32" s="20" t="str">
        <f t="shared" si="5"/>
        <v/>
      </c>
      <c r="N32" s="59">
        <f t="shared" si="6"/>
        <v>0</v>
      </c>
    </row>
    <row r="33" spans="1:14" ht="14.4" customHeight="1" x14ac:dyDescent="0.25">
      <c r="A33" s="45"/>
      <c r="B33" s="110">
        <v>5070</v>
      </c>
      <c r="C33" s="111" t="s">
        <v>92</v>
      </c>
      <c r="D33" s="112">
        <v>0</v>
      </c>
      <c r="E33" s="43">
        <f t="shared" si="2"/>
        <v>0</v>
      </c>
      <c r="F33" s="120">
        <v>0</v>
      </c>
      <c r="G33" s="11"/>
      <c r="H33" s="113">
        <v>0</v>
      </c>
      <c r="I33" s="43">
        <f t="shared" si="3"/>
        <v>0</v>
      </c>
      <c r="J33" s="10"/>
      <c r="K33" s="114">
        <v>0</v>
      </c>
      <c r="L33" s="88">
        <f t="shared" si="4"/>
        <v>0</v>
      </c>
      <c r="M33" s="20" t="str">
        <f t="shared" si="5"/>
        <v/>
      </c>
      <c r="N33" s="59">
        <f t="shared" si="6"/>
        <v>0</v>
      </c>
    </row>
    <row r="34" spans="1:14" ht="14.4" customHeight="1" x14ac:dyDescent="0.25">
      <c r="A34" s="45"/>
      <c r="B34" s="110">
        <v>5080</v>
      </c>
      <c r="C34" s="111" t="s">
        <v>92</v>
      </c>
      <c r="D34" s="112">
        <v>0</v>
      </c>
      <c r="E34" s="43">
        <f t="shared" si="2"/>
        <v>0</v>
      </c>
      <c r="F34" s="120">
        <v>0</v>
      </c>
      <c r="G34" s="11"/>
      <c r="H34" s="113">
        <v>0</v>
      </c>
      <c r="I34" s="43">
        <f t="shared" si="3"/>
        <v>0</v>
      </c>
      <c r="J34" s="10"/>
      <c r="K34" s="114">
        <v>0</v>
      </c>
      <c r="L34" s="88">
        <f t="shared" si="4"/>
        <v>0</v>
      </c>
      <c r="M34" s="20" t="str">
        <f t="shared" si="5"/>
        <v/>
      </c>
      <c r="N34" s="59">
        <f t="shared" si="6"/>
        <v>0</v>
      </c>
    </row>
    <row r="35" spans="1:14" ht="14.4" customHeight="1" x14ac:dyDescent="0.25">
      <c r="A35" s="45"/>
      <c r="B35" s="110">
        <v>5090</v>
      </c>
      <c r="C35" s="111" t="s">
        <v>92</v>
      </c>
      <c r="D35" s="112">
        <v>0</v>
      </c>
      <c r="E35" s="43">
        <f t="shared" si="2"/>
        <v>0</v>
      </c>
      <c r="F35" s="120">
        <v>0</v>
      </c>
      <c r="G35" s="11"/>
      <c r="H35" s="113">
        <v>0</v>
      </c>
      <c r="I35" s="43">
        <f t="shared" si="3"/>
        <v>0</v>
      </c>
      <c r="J35" s="10"/>
      <c r="K35" s="114">
        <v>0</v>
      </c>
      <c r="L35" s="88">
        <f t="shared" si="4"/>
        <v>0</v>
      </c>
      <c r="M35" s="20" t="str">
        <f t="shared" si="5"/>
        <v/>
      </c>
      <c r="N35" s="59">
        <f t="shared" si="6"/>
        <v>0</v>
      </c>
    </row>
    <row r="36" spans="1:14" ht="6.3" customHeight="1" x14ac:dyDescent="0.25">
      <c r="A36" s="16"/>
      <c r="B36" s="16"/>
      <c r="C36" s="16"/>
      <c r="D36" s="16"/>
      <c r="E36" s="16"/>
      <c r="F36" s="16"/>
      <c r="G36" s="16"/>
      <c r="H36" s="11"/>
      <c r="I36" s="16"/>
      <c r="J36" s="10"/>
      <c r="K36" s="18"/>
      <c r="L36" s="16"/>
      <c r="M36" s="19"/>
      <c r="N36" s="19"/>
    </row>
    <row r="37" spans="1:14" ht="14.4" customHeight="1" x14ac:dyDescent="0.25">
      <c r="A37" s="21" t="s">
        <v>92</v>
      </c>
      <c r="B37" s="21"/>
      <c r="C37" s="47" t="s">
        <v>111</v>
      </c>
      <c r="D37" s="48">
        <f>SUM(D26:D35)</f>
        <v>0</v>
      </c>
      <c r="E37" s="48">
        <f>SUM(E26:E35)</f>
        <v>0</v>
      </c>
      <c r="F37" s="48">
        <f>SUM(F26:F35)</f>
        <v>0</v>
      </c>
      <c r="G37" s="11"/>
      <c r="H37" s="20"/>
      <c r="I37" s="48">
        <f>SUM(I26:I35)</f>
        <v>0</v>
      </c>
      <c r="J37" s="10"/>
      <c r="K37" s="11"/>
      <c r="L37" s="48">
        <f>SUM(L26:L35)</f>
        <v>0</v>
      </c>
      <c r="M37" s="20" t="str">
        <f>IF(OR(F37="",F37=0),"",L37/F37-100%)</f>
        <v/>
      </c>
      <c r="N37" s="2"/>
    </row>
    <row r="38" spans="1:14" ht="6.3" customHeight="1" x14ac:dyDescent="0.25">
      <c r="A38" s="21"/>
      <c r="B38" s="21"/>
      <c r="C38" s="21"/>
      <c r="D38" s="43"/>
      <c r="E38" s="43"/>
      <c r="F38" s="43"/>
      <c r="G38" s="11"/>
      <c r="H38" s="20"/>
      <c r="I38" s="43"/>
      <c r="J38" s="10"/>
      <c r="K38" s="11"/>
      <c r="L38" s="43"/>
      <c r="M38" s="20"/>
      <c r="N38" s="2"/>
    </row>
    <row r="39" spans="1:14" ht="14.4" customHeight="1" x14ac:dyDescent="0.25">
      <c r="B39" s="50" t="s">
        <v>90</v>
      </c>
      <c r="C39" s="50" t="s">
        <v>112</v>
      </c>
      <c r="D39" s="60"/>
      <c r="E39" s="53"/>
      <c r="F39" s="53"/>
      <c r="G39" s="61"/>
      <c r="H39" s="62"/>
      <c r="I39" s="53"/>
      <c r="J39" s="55"/>
      <c r="K39" s="56"/>
      <c r="L39" s="53"/>
      <c r="M39" s="19"/>
      <c r="N39" s="2"/>
    </row>
    <row r="40" spans="1:14" ht="6.3" customHeight="1" x14ac:dyDescent="0.25">
      <c r="A40" s="21"/>
      <c r="B40" s="21"/>
      <c r="C40" s="21"/>
      <c r="D40" s="21"/>
      <c r="E40" s="16"/>
      <c r="F40" s="16"/>
      <c r="G40" s="11"/>
      <c r="H40" s="20"/>
      <c r="I40" s="16"/>
      <c r="J40" s="10"/>
      <c r="K40" s="18"/>
      <c r="L40" s="16"/>
      <c r="M40" s="19"/>
      <c r="N40" s="2"/>
    </row>
    <row r="41" spans="1:14" ht="14.4" customHeight="1" x14ac:dyDescent="0.25">
      <c r="A41" s="16"/>
      <c r="B41" s="121">
        <v>6000</v>
      </c>
      <c r="C41" s="111" t="s">
        <v>92</v>
      </c>
      <c r="D41" s="112">
        <v>0</v>
      </c>
      <c r="E41" s="43">
        <f t="shared" ref="E41:E47" si="7">IF(OR($H$2="",$H$2&lt;=0,$H$2&gt;12),"",(D41/$H$2)*12)</f>
        <v>0</v>
      </c>
      <c r="F41" s="120">
        <v>0</v>
      </c>
      <c r="G41" s="11"/>
      <c r="H41" s="113">
        <v>0</v>
      </c>
      <c r="I41" s="43">
        <f t="shared" ref="I41:I47" si="8">F41+(F41*H41)</f>
        <v>0</v>
      </c>
      <c r="J41" s="10"/>
      <c r="K41" s="114">
        <v>0</v>
      </c>
      <c r="L41" s="88">
        <f t="shared" ref="L41:L47" si="9">I41+K41</f>
        <v>0</v>
      </c>
      <c r="M41" s="20" t="str">
        <f t="shared" ref="M41:M47" si="10">IF(OR(F41="",F41=0),"",L41/F41-100%)</f>
        <v/>
      </c>
      <c r="N41" s="59">
        <f t="shared" ref="N41:N47" si="11">L41-F41</f>
        <v>0</v>
      </c>
    </row>
    <row r="42" spans="1:14" ht="14.4" customHeight="1" x14ac:dyDescent="0.25">
      <c r="A42" s="16"/>
      <c r="B42" s="121">
        <v>6010</v>
      </c>
      <c r="C42" s="111" t="s">
        <v>92</v>
      </c>
      <c r="D42" s="112">
        <v>0</v>
      </c>
      <c r="E42" s="43">
        <f t="shared" si="7"/>
        <v>0</v>
      </c>
      <c r="F42" s="120">
        <v>0</v>
      </c>
      <c r="G42" s="11"/>
      <c r="H42" s="113">
        <v>0</v>
      </c>
      <c r="I42" s="43">
        <f t="shared" si="8"/>
        <v>0</v>
      </c>
      <c r="J42" s="10"/>
      <c r="K42" s="114">
        <v>0</v>
      </c>
      <c r="L42" s="88">
        <f t="shared" si="9"/>
        <v>0</v>
      </c>
      <c r="M42" s="20" t="str">
        <f t="shared" si="10"/>
        <v/>
      </c>
      <c r="N42" s="59">
        <f t="shared" si="11"/>
        <v>0</v>
      </c>
    </row>
    <row r="43" spans="1:14" ht="14.4" customHeight="1" x14ac:dyDescent="0.25">
      <c r="A43" s="16"/>
      <c r="B43" s="121">
        <v>6020</v>
      </c>
      <c r="C43" s="111" t="s">
        <v>92</v>
      </c>
      <c r="D43" s="112">
        <v>0</v>
      </c>
      <c r="E43" s="43">
        <f t="shared" si="7"/>
        <v>0</v>
      </c>
      <c r="F43" s="120">
        <v>0</v>
      </c>
      <c r="G43" s="11"/>
      <c r="H43" s="113">
        <v>0</v>
      </c>
      <c r="I43" s="43">
        <f t="shared" si="8"/>
        <v>0</v>
      </c>
      <c r="J43" s="10"/>
      <c r="K43" s="114">
        <v>0</v>
      </c>
      <c r="L43" s="88">
        <f t="shared" si="9"/>
        <v>0</v>
      </c>
      <c r="M43" s="20" t="str">
        <f t="shared" si="10"/>
        <v/>
      </c>
      <c r="N43" s="59">
        <f t="shared" si="11"/>
        <v>0</v>
      </c>
    </row>
    <row r="44" spans="1:14" ht="14.4" customHeight="1" x14ac:dyDescent="0.25">
      <c r="A44" s="16"/>
      <c r="B44" s="121">
        <v>6030</v>
      </c>
      <c r="C44" s="111" t="s">
        <v>92</v>
      </c>
      <c r="D44" s="112">
        <v>0</v>
      </c>
      <c r="E44" s="43">
        <f t="shared" si="7"/>
        <v>0</v>
      </c>
      <c r="F44" s="120">
        <v>0</v>
      </c>
      <c r="G44" s="11"/>
      <c r="H44" s="113">
        <v>0</v>
      </c>
      <c r="I44" s="43">
        <f t="shared" si="8"/>
        <v>0</v>
      </c>
      <c r="J44" s="10"/>
      <c r="K44" s="114">
        <v>0</v>
      </c>
      <c r="L44" s="88">
        <f t="shared" si="9"/>
        <v>0</v>
      </c>
      <c r="M44" s="20" t="str">
        <f t="shared" si="10"/>
        <v/>
      </c>
      <c r="N44" s="59">
        <f t="shared" si="11"/>
        <v>0</v>
      </c>
    </row>
    <row r="45" spans="1:14" ht="14.4" customHeight="1" x14ac:dyDescent="0.25">
      <c r="A45" s="16"/>
      <c r="B45" s="121">
        <v>6040</v>
      </c>
      <c r="C45" s="111" t="s">
        <v>92</v>
      </c>
      <c r="D45" s="112">
        <v>0</v>
      </c>
      <c r="E45" s="43">
        <f t="shared" si="7"/>
        <v>0</v>
      </c>
      <c r="F45" s="120">
        <v>0</v>
      </c>
      <c r="G45" s="11"/>
      <c r="H45" s="113">
        <v>0</v>
      </c>
      <c r="I45" s="43">
        <f t="shared" si="8"/>
        <v>0</v>
      </c>
      <c r="J45" s="10"/>
      <c r="K45" s="114">
        <v>0</v>
      </c>
      <c r="L45" s="88">
        <f t="shared" si="9"/>
        <v>0</v>
      </c>
      <c r="M45" s="20" t="str">
        <f t="shared" si="10"/>
        <v/>
      </c>
      <c r="N45" s="59">
        <f t="shared" si="11"/>
        <v>0</v>
      </c>
    </row>
    <row r="46" spans="1:14" ht="14.4" customHeight="1" x14ac:dyDescent="0.25">
      <c r="A46" s="16"/>
      <c r="B46" s="121">
        <v>6050</v>
      </c>
      <c r="C46" s="111" t="s">
        <v>92</v>
      </c>
      <c r="D46" s="112">
        <v>0</v>
      </c>
      <c r="E46" s="43">
        <f t="shared" si="7"/>
        <v>0</v>
      </c>
      <c r="F46" s="120">
        <v>0</v>
      </c>
      <c r="G46" s="11"/>
      <c r="H46" s="113">
        <v>0</v>
      </c>
      <c r="I46" s="43">
        <f t="shared" si="8"/>
        <v>0</v>
      </c>
      <c r="J46" s="10"/>
      <c r="K46" s="114">
        <v>0</v>
      </c>
      <c r="L46" s="88">
        <f t="shared" si="9"/>
        <v>0</v>
      </c>
      <c r="M46" s="20" t="str">
        <f t="shared" si="10"/>
        <v/>
      </c>
      <c r="N46" s="59">
        <f t="shared" si="11"/>
        <v>0</v>
      </c>
    </row>
    <row r="47" spans="1:14" ht="14.4" customHeight="1" x14ac:dyDescent="0.25">
      <c r="A47" s="45"/>
      <c r="B47" s="122">
        <v>6060</v>
      </c>
      <c r="C47" s="111" t="s">
        <v>92</v>
      </c>
      <c r="D47" s="112">
        <v>0</v>
      </c>
      <c r="E47" s="43">
        <f t="shared" si="7"/>
        <v>0</v>
      </c>
      <c r="F47" s="120">
        <v>0</v>
      </c>
      <c r="G47" s="11"/>
      <c r="H47" s="113">
        <v>0</v>
      </c>
      <c r="I47" s="43">
        <f t="shared" si="8"/>
        <v>0</v>
      </c>
      <c r="J47" s="10"/>
      <c r="K47" s="114">
        <v>0</v>
      </c>
      <c r="L47" s="88">
        <f t="shared" si="9"/>
        <v>0</v>
      </c>
      <c r="M47" s="20" t="str">
        <f t="shared" si="10"/>
        <v/>
      </c>
      <c r="N47" s="59">
        <f t="shared" si="11"/>
        <v>0</v>
      </c>
    </row>
    <row r="48" spans="1:14" ht="6.3" customHeight="1" x14ac:dyDescent="0.25">
      <c r="A48" s="21"/>
      <c r="B48" s="21"/>
      <c r="C48" s="21"/>
      <c r="D48" s="43"/>
      <c r="E48" s="43"/>
      <c r="F48" s="43"/>
      <c r="G48" s="11"/>
      <c r="H48" s="20"/>
      <c r="I48" s="43"/>
      <c r="J48" s="10"/>
      <c r="K48" s="11"/>
      <c r="L48" s="43"/>
      <c r="M48" s="20"/>
      <c r="N48" s="2"/>
    </row>
    <row r="49" spans="1:14" ht="14.4" customHeight="1" x14ac:dyDescent="0.25">
      <c r="A49" s="21" t="s">
        <v>92</v>
      </c>
      <c r="B49" s="21"/>
      <c r="C49" s="47" t="s">
        <v>117</v>
      </c>
      <c r="D49" s="64">
        <f>SUM(D41:D47)</f>
        <v>0</v>
      </c>
      <c r="E49" s="64">
        <f>SUM(E41:E47)</f>
        <v>0</v>
      </c>
      <c r="F49" s="64">
        <f>SUM(F41:F47)</f>
        <v>0</v>
      </c>
      <c r="G49" s="11"/>
      <c r="H49" s="20"/>
      <c r="I49" s="64">
        <f>SUM(I41:I47)</f>
        <v>0</v>
      </c>
      <c r="J49" s="10"/>
      <c r="K49" s="11"/>
      <c r="L49" s="64">
        <f>SUM(L41:L47)</f>
        <v>0</v>
      </c>
      <c r="M49" s="20" t="str">
        <f>IF(OR(F49="",F49=0),"",L49/F49-100%)</f>
        <v/>
      </c>
      <c r="N49" s="2"/>
    </row>
    <row r="50" spans="1:14" ht="12" customHeight="1" x14ac:dyDescent="0.25">
      <c r="A50" s="21"/>
      <c r="B50" s="21"/>
      <c r="C50" s="21"/>
      <c r="D50" s="43"/>
      <c r="E50" s="43"/>
      <c r="F50" s="43"/>
      <c r="G50" s="11"/>
      <c r="H50" s="20"/>
      <c r="I50" s="43"/>
      <c r="J50" s="10"/>
      <c r="K50" s="11"/>
      <c r="L50" s="43"/>
      <c r="M50" s="20"/>
      <c r="N50" s="2"/>
    </row>
    <row r="51" spans="1:14" ht="14.4" customHeight="1" x14ac:dyDescent="0.25">
      <c r="A51" s="49" t="s">
        <v>92</v>
      </c>
      <c r="B51" s="96" t="s">
        <v>90</v>
      </c>
      <c r="C51" s="96" t="s">
        <v>118</v>
      </c>
      <c r="D51" s="97"/>
      <c r="E51" s="98"/>
      <c r="F51" s="99"/>
      <c r="G51" s="100"/>
      <c r="H51" s="101"/>
      <c r="I51" s="102"/>
      <c r="J51" s="96"/>
      <c r="K51" s="103"/>
      <c r="L51" s="102"/>
      <c r="M51" s="19"/>
      <c r="N51" s="2"/>
    </row>
    <row r="52" spans="1:14" ht="6.3" customHeight="1" x14ac:dyDescent="0.25">
      <c r="A52" s="21"/>
      <c r="B52" s="21"/>
      <c r="C52" s="21"/>
      <c r="D52" s="21"/>
      <c r="E52" s="57"/>
      <c r="F52" s="63"/>
      <c r="G52" s="11"/>
      <c r="H52" s="20"/>
      <c r="I52" s="16"/>
      <c r="J52" s="10"/>
      <c r="K52" s="18"/>
      <c r="L52" s="16"/>
      <c r="M52" s="19"/>
      <c r="N52" s="2"/>
    </row>
    <row r="53" spans="1:14" ht="14.4" customHeight="1" x14ac:dyDescent="0.25">
      <c r="A53" s="16" t="s">
        <v>92</v>
      </c>
      <c r="B53" s="110">
        <v>7010</v>
      </c>
      <c r="C53" s="111" t="s">
        <v>92</v>
      </c>
      <c r="D53" s="112">
        <v>0</v>
      </c>
      <c r="E53" s="43">
        <f t="shared" ref="E53:E70" si="12">IF(OR($H$2="",$H$2&lt;=0,$H$2&gt;12),"",(D53/$H$2)*12)</f>
        <v>0</v>
      </c>
      <c r="F53" s="118">
        <v>0</v>
      </c>
      <c r="G53" s="11"/>
      <c r="H53" s="113">
        <v>0</v>
      </c>
      <c r="I53" s="43">
        <f t="shared" ref="I53:I70" si="13">F53+(F53*H53)</f>
        <v>0</v>
      </c>
      <c r="J53" s="10"/>
      <c r="K53" s="114">
        <v>0</v>
      </c>
      <c r="L53" s="88">
        <f t="shared" ref="L53:L70" si="14">I53+K53</f>
        <v>0</v>
      </c>
      <c r="M53" s="20" t="str">
        <f t="shared" ref="M53:M70" si="15">IF(OR(F53="",F53=0),"",L53/F53-100%)</f>
        <v/>
      </c>
      <c r="N53" s="59">
        <f t="shared" ref="N53:N70" si="16">L53-F53</f>
        <v>0</v>
      </c>
    </row>
    <row r="54" spans="1:14" ht="14.4" customHeight="1" x14ac:dyDescent="0.25">
      <c r="A54" s="45"/>
      <c r="B54" s="110">
        <v>7015</v>
      </c>
      <c r="C54" s="111" t="s">
        <v>92</v>
      </c>
      <c r="D54" s="112">
        <v>0</v>
      </c>
      <c r="E54" s="43">
        <f t="shared" si="12"/>
        <v>0</v>
      </c>
      <c r="F54" s="118">
        <v>0</v>
      </c>
      <c r="G54" s="11"/>
      <c r="H54" s="113">
        <v>0</v>
      </c>
      <c r="I54" s="43">
        <f t="shared" si="13"/>
        <v>0</v>
      </c>
      <c r="J54" s="10"/>
      <c r="K54" s="114">
        <v>0</v>
      </c>
      <c r="L54" s="88">
        <f t="shared" si="14"/>
        <v>0</v>
      </c>
      <c r="M54" s="20" t="str">
        <f t="shared" si="15"/>
        <v/>
      </c>
      <c r="N54" s="59">
        <f t="shared" si="16"/>
        <v>0</v>
      </c>
    </row>
    <row r="55" spans="1:14" ht="14.4" customHeight="1" x14ac:dyDescent="0.25">
      <c r="A55" s="16"/>
      <c r="B55" s="110">
        <v>7020</v>
      </c>
      <c r="C55" s="111" t="s">
        <v>92</v>
      </c>
      <c r="D55" s="112">
        <v>0</v>
      </c>
      <c r="E55" s="43">
        <f t="shared" si="12"/>
        <v>0</v>
      </c>
      <c r="F55" s="118">
        <v>0</v>
      </c>
      <c r="G55" s="11"/>
      <c r="H55" s="113">
        <v>0</v>
      </c>
      <c r="I55" s="43">
        <f t="shared" si="13"/>
        <v>0</v>
      </c>
      <c r="J55" s="10"/>
      <c r="K55" s="114">
        <v>0</v>
      </c>
      <c r="L55" s="88">
        <f t="shared" si="14"/>
        <v>0</v>
      </c>
      <c r="M55" s="20" t="str">
        <f t="shared" si="15"/>
        <v/>
      </c>
      <c r="N55" s="59">
        <f t="shared" si="16"/>
        <v>0</v>
      </c>
    </row>
    <row r="56" spans="1:14" ht="14.4" customHeight="1" x14ac:dyDescent="0.25">
      <c r="A56" s="45"/>
      <c r="B56" s="110">
        <v>7025</v>
      </c>
      <c r="C56" s="111" t="s">
        <v>92</v>
      </c>
      <c r="D56" s="112">
        <v>0</v>
      </c>
      <c r="E56" s="43">
        <f t="shared" si="12"/>
        <v>0</v>
      </c>
      <c r="F56" s="118">
        <v>0</v>
      </c>
      <c r="G56" s="11"/>
      <c r="H56" s="113">
        <v>0</v>
      </c>
      <c r="I56" s="43">
        <f t="shared" si="13"/>
        <v>0</v>
      </c>
      <c r="J56" s="10"/>
      <c r="K56" s="114">
        <v>0</v>
      </c>
      <c r="L56" s="88">
        <f t="shared" si="14"/>
        <v>0</v>
      </c>
      <c r="M56" s="20" t="str">
        <f t="shared" si="15"/>
        <v/>
      </c>
      <c r="N56" s="59">
        <f t="shared" si="16"/>
        <v>0</v>
      </c>
    </row>
    <row r="57" spans="1:14" ht="14.4" customHeight="1" x14ac:dyDescent="0.25">
      <c r="A57" s="45"/>
      <c r="B57" s="110">
        <v>7030</v>
      </c>
      <c r="C57" s="111" t="s">
        <v>92</v>
      </c>
      <c r="D57" s="112">
        <v>0</v>
      </c>
      <c r="E57" s="43">
        <f t="shared" si="12"/>
        <v>0</v>
      </c>
      <c r="F57" s="118">
        <v>0</v>
      </c>
      <c r="G57" s="11"/>
      <c r="H57" s="113">
        <v>0</v>
      </c>
      <c r="I57" s="43">
        <f t="shared" si="13"/>
        <v>0</v>
      </c>
      <c r="J57" s="10"/>
      <c r="K57" s="114">
        <v>0</v>
      </c>
      <c r="L57" s="88">
        <f t="shared" si="14"/>
        <v>0</v>
      </c>
      <c r="M57" s="20" t="str">
        <f t="shared" si="15"/>
        <v/>
      </c>
      <c r="N57" s="59">
        <f t="shared" si="16"/>
        <v>0</v>
      </c>
    </row>
    <row r="58" spans="1:14" ht="14.4" customHeight="1" x14ac:dyDescent="0.25">
      <c r="A58" s="45"/>
      <c r="B58" s="110">
        <v>7035</v>
      </c>
      <c r="C58" s="111" t="s">
        <v>92</v>
      </c>
      <c r="D58" s="112">
        <v>0</v>
      </c>
      <c r="E58" s="43">
        <f t="shared" si="12"/>
        <v>0</v>
      </c>
      <c r="F58" s="118">
        <v>0</v>
      </c>
      <c r="G58" s="11"/>
      <c r="H58" s="113">
        <v>0</v>
      </c>
      <c r="I58" s="43">
        <f t="shared" si="13"/>
        <v>0</v>
      </c>
      <c r="J58" s="10"/>
      <c r="K58" s="114">
        <v>0</v>
      </c>
      <c r="L58" s="88">
        <f t="shared" si="14"/>
        <v>0</v>
      </c>
      <c r="M58" s="20" t="str">
        <f t="shared" si="15"/>
        <v/>
      </c>
      <c r="N58" s="59">
        <f t="shared" si="16"/>
        <v>0</v>
      </c>
    </row>
    <row r="59" spans="1:14" ht="12.45" customHeight="1" x14ac:dyDescent="0.25">
      <c r="A59" s="45"/>
      <c r="B59" s="110">
        <v>7040</v>
      </c>
      <c r="C59" s="115" t="s">
        <v>92</v>
      </c>
      <c r="D59" s="112">
        <v>0</v>
      </c>
      <c r="E59" s="43">
        <f t="shared" si="12"/>
        <v>0</v>
      </c>
      <c r="F59" s="118">
        <v>0</v>
      </c>
      <c r="G59" s="11"/>
      <c r="H59" s="113">
        <v>0</v>
      </c>
      <c r="I59" s="43">
        <f t="shared" si="13"/>
        <v>0</v>
      </c>
      <c r="J59" s="10"/>
      <c r="K59" s="114">
        <v>0</v>
      </c>
      <c r="L59" s="88">
        <f t="shared" si="14"/>
        <v>0</v>
      </c>
      <c r="M59" s="20" t="str">
        <f t="shared" si="15"/>
        <v/>
      </c>
      <c r="N59" s="59">
        <f t="shared" si="16"/>
        <v>0</v>
      </c>
    </row>
    <row r="60" spans="1:14" ht="10.050000000000001" customHeight="1" x14ac:dyDescent="0.25">
      <c r="A60" s="45"/>
      <c r="B60" s="110">
        <v>7045</v>
      </c>
      <c r="C60" s="111" t="s">
        <v>92</v>
      </c>
      <c r="D60" s="112">
        <v>0</v>
      </c>
      <c r="E60" s="43">
        <f t="shared" si="12"/>
        <v>0</v>
      </c>
      <c r="F60" s="118">
        <v>0</v>
      </c>
      <c r="G60" s="11"/>
      <c r="H60" s="113">
        <v>0</v>
      </c>
      <c r="I60" s="43">
        <f t="shared" si="13"/>
        <v>0</v>
      </c>
      <c r="J60" s="10"/>
      <c r="K60" s="114">
        <v>0</v>
      </c>
      <c r="L60" s="88">
        <f t="shared" si="14"/>
        <v>0</v>
      </c>
      <c r="M60" s="20" t="str">
        <f t="shared" si="15"/>
        <v/>
      </c>
      <c r="N60" s="59">
        <f t="shared" si="16"/>
        <v>0</v>
      </c>
    </row>
    <row r="61" spans="1:14" ht="14.4" customHeight="1" x14ac:dyDescent="0.25">
      <c r="A61" s="45"/>
      <c r="B61" s="110">
        <v>7050</v>
      </c>
      <c r="C61" s="111" t="s">
        <v>92</v>
      </c>
      <c r="D61" s="112">
        <v>0</v>
      </c>
      <c r="E61" s="43">
        <f t="shared" si="12"/>
        <v>0</v>
      </c>
      <c r="F61" s="118">
        <v>0</v>
      </c>
      <c r="G61" s="11"/>
      <c r="H61" s="113">
        <v>0</v>
      </c>
      <c r="I61" s="43">
        <f t="shared" si="13"/>
        <v>0</v>
      </c>
      <c r="J61" s="10"/>
      <c r="K61" s="114">
        <v>0</v>
      </c>
      <c r="L61" s="88">
        <f t="shared" si="14"/>
        <v>0</v>
      </c>
      <c r="M61" s="20" t="str">
        <f t="shared" si="15"/>
        <v/>
      </c>
      <c r="N61" s="59">
        <f t="shared" si="16"/>
        <v>0</v>
      </c>
    </row>
    <row r="62" spans="1:14" ht="14.4" customHeight="1" x14ac:dyDescent="0.25">
      <c r="A62" s="45"/>
      <c r="B62" s="110">
        <v>7055</v>
      </c>
      <c r="C62" s="111" t="s">
        <v>92</v>
      </c>
      <c r="D62" s="112">
        <v>0</v>
      </c>
      <c r="E62" s="43">
        <f t="shared" si="12"/>
        <v>0</v>
      </c>
      <c r="F62" s="118">
        <v>0</v>
      </c>
      <c r="G62" s="11"/>
      <c r="H62" s="113">
        <v>0</v>
      </c>
      <c r="I62" s="43">
        <f t="shared" si="13"/>
        <v>0</v>
      </c>
      <c r="J62" s="10"/>
      <c r="K62" s="114">
        <v>0</v>
      </c>
      <c r="L62" s="88">
        <f t="shared" si="14"/>
        <v>0</v>
      </c>
      <c r="M62" s="20" t="str">
        <f t="shared" si="15"/>
        <v/>
      </c>
      <c r="N62" s="59">
        <f t="shared" si="16"/>
        <v>0</v>
      </c>
    </row>
    <row r="63" spans="1:14" ht="14.4" customHeight="1" x14ac:dyDescent="0.25">
      <c r="A63" s="45"/>
      <c r="B63" s="110">
        <v>7060</v>
      </c>
      <c r="C63" s="111" t="s">
        <v>92</v>
      </c>
      <c r="D63" s="112">
        <v>0</v>
      </c>
      <c r="E63" s="43">
        <f t="shared" si="12"/>
        <v>0</v>
      </c>
      <c r="F63" s="118">
        <v>0</v>
      </c>
      <c r="G63" s="11"/>
      <c r="H63" s="113">
        <v>0</v>
      </c>
      <c r="I63" s="43">
        <f t="shared" si="13"/>
        <v>0</v>
      </c>
      <c r="J63" s="10"/>
      <c r="K63" s="114">
        <v>0</v>
      </c>
      <c r="L63" s="88">
        <f t="shared" si="14"/>
        <v>0</v>
      </c>
      <c r="M63" s="20" t="str">
        <f t="shared" si="15"/>
        <v/>
      </c>
      <c r="N63" s="59">
        <f t="shared" si="16"/>
        <v>0</v>
      </c>
    </row>
    <row r="64" spans="1:14" ht="14.4" customHeight="1" x14ac:dyDescent="0.25">
      <c r="A64" s="45"/>
      <c r="B64" s="110">
        <v>7065</v>
      </c>
      <c r="C64" s="111" t="s">
        <v>92</v>
      </c>
      <c r="D64" s="112">
        <v>0</v>
      </c>
      <c r="E64" s="43">
        <f t="shared" si="12"/>
        <v>0</v>
      </c>
      <c r="F64" s="118">
        <v>0</v>
      </c>
      <c r="G64" s="11"/>
      <c r="H64" s="113">
        <v>0</v>
      </c>
      <c r="I64" s="43">
        <f t="shared" si="13"/>
        <v>0</v>
      </c>
      <c r="J64" s="10"/>
      <c r="K64" s="114">
        <v>0</v>
      </c>
      <c r="L64" s="88">
        <f t="shared" si="14"/>
        <v>0</v>
      </c>
      <c r="M64" s="20" t="str">
        <f t="shared" si="15"/>
        <v/>
      </c>
      <c r="N64" s="59">
        <f t="shared" si="16"/>
        <v>0</v>
      </c>
    </row>
    <row r="65" spans="1:14" ht="14.4" customHeight="1" x14ac:dyDescent="0.25">
      <c r="A65" s="16"/>
      <c r="B65" s="110">
        <v>7070</v>
      </c>
      <c r="C65" s="111" t="s">
        <v>92</v>
      </c>
      <c r="D65" s="112">
        <v>0</v>
      </c>
      <c r="E65" s="43">
        <f t="shared" si="12"/>
        <v>0</v>
      </c>
      <c r="F65" s="118">
        <v>0</v>
      </c>
      <c r="G65" s="11"/>
      <c r="H65" s="113">
        <v>0</v>
      </c>
      <c r="I65" s="43">
        <f t="shared" si="13"/>
        <v>0</v>
      </c>
      <c r="J65" s="10"/>
      <c r="K65" s="114">
        <v>0</v>
      </c>
      <c r="L65" s="88">
        <f t="shared" si="14"/>
        <v>0</v>
      </c>
      <c r="M65" s="20" t="str">
        <f t="shared" si="15"/>
        <v/>
      </c>
      <c r="N65" s="59">
        <f t="shared" si="16"/>
        <v>0</v>
      </c>
    </row>
    <row r="66" spans="1:14" ht="14.4" customHeight="1" x14ac:dyDescent="0.25">
      <c r="A66" s="45"/>
      <c r="B66" s="110">
        <v>7075</v>
      </c>
      <c r="C66" s="111" t="s">
        <v>92</v>
      </c>
      <c r="D66" s="112">
        <v>0</v>
      </c>
      <c r="E66" s="43">
        <f t="shared" si="12"/>
        <v>0</v>
      </c>
      <c r="F66" s="118">
        <v>0</v>
      </c>
      <c r="G66" s="11"/>
      <c r="H66" s="113">
        <v>0</v>
      </c>
      <c r="I66" s="43">
        <f t="shared" si="13"/>
        <v>0</v>
      </c>
      <c r="J66" s="10"/>
      <c r="K66" s="114">
        <v>0</v>
      </c>
      <c r="L66" s="88">
        <f t="shared" si="14"/>
        <v>0</v>
      </c>
      <c r="M66" s="20" t="str">
        <f t="shared" si="15"/>
        <v/>
      </c>
      <c r="N66" s="59">
        <f t="shared" si="16"/>
        <v>0</v>
      </c>
    </row>
    <row r="67" spans="1:14" ht="14.4" customHeight="1" x14ac:dyDescent="0.25">
      <c r="A67" s="16"/>
      <c r="B67" s="110">
        <v>7080</v>
      </c>
      <c r="C67" s="115" t="s">
        <v>92</v>
      </c>
      <c r="D67" s="112">
        <v>0</v>
      </c>
      <c r="E67" s="43">
        <f t="shared" si="12"/>
        <v>0</v>
      </c>
      <c r="F67" s="118">
        <v>0</v>
      </c>
      <c r="G67" s="11"/>
      <c r="H67" s="113">
        <v>0</v>
      </c>
      <c r="I67" s="43">
        <f t="shared" si="13"/>
        <v>0</v>
      </c>
      <c r="J67" s="10"/>
      <c r="K67" s="114">
        <v>0</v>
      </c>
      <c r="L67" s="88">
        <f t="shared" si="14"/>
        <v>0</v>
      </c>
      <c r="M67" s="20" t="str">
        <f t="shared" si="15"/>
        <v/>
      </c>
      <c r="N67" s="59">
        <f t="shared" si="16"/>
        <v>0</v>
      </c>
    </row>
    <row r="68" spans="1:14" ht="14.4" customHeight="1" x14ac:dyDescent="0.25">
      <c r="A68" s="45"/>
      <c r="B68" s="110">
        <v>7085</v>
      </c>
      <c r="C68" s="111" t="s">
        <v>92</v>
      </c>
      <c r="D68" s="112">
        <v>0</v>
      </c>
      <c r="E68" s="43">
        <f t="shared" si="12"/>
        <v>0</v>
      </c>
      <c r="F68" s="118">
        <v>0</v>
      </c>
      <c r="G68" s="11"/>
      <c r="H68" s="113">
        <v>0</v>
      </c>
      <c r="I68" s="43">
        <f t="shared" si="13"/>
        <v>0</v>
      </c>
      <c r="J68" s="10"/>
      <c r="K68" s="114">
        <v>0</v>
      </c>
      <c r="L68" s="88">
        <f t="shared" si="14"/>
        <v>0</v>
      </c>
      <c r="M68" s="20" t="str">
        <f t="shared" si="15"/>
        <v/>
      </c>
      <c r="N68" s="59">
        <f t="shared" si="16"/>
        <v>0</v>
      </c>
    </row>
    <row r="69" spans="1:14" ht="14.4" customHeight="1" x14ac:dyDescent="0.25">
      <c r="A69" s="16"/>
      <c r="B69" s="110">
        <v>7090</v>
      </c>
      <c r="C69" s="111" t="s">
        <v>92</v>
      </c>
      <c r="D69" s="112">
        <v>0</v>
      </c>
      <c r="E69" s="43">
        <f t="shared" si="12"/>
        <v>0</v>
      </c>
      <c r="F69" s="118">
        <v>0</v>
      </c>
      <c r="G69" s="11"/>
      <c r="H69" s="113">
        <v>0</v>
      </c>
      <c r="I69" s="43">
        <f t="shared" si="13"/>
        <v>0</v>
      </c>
      <c r="J69" s="10"/>
      <c r="K69" s="114">
        <v>0</v>
      </c>
      <c r="L69" s="88">
        <f t="shared" si="14"/>
        <v>0</v>
      </c>
      <c r="M69" s="20" t="str">
        <f t="shared" si="15"/>
        <v/>
      </c>
      <c r="N69" s="59">
        <f t="shared" si="16"/>
        <v>0</v>
      </c>
    </row>
    <row r="70" spans="1:14" ht="14.4" customHeight="1" x14ac:dyDescent="0.25">
      <c r="A70" s="45"/>
      <c r="B70" s="110">
        <v>7095</v>
      </c>
      <c r="C70" s="111" t="s">
        <v>92</v>
      </c>
      <c r="D70" s="112">
        <v>0</v>
      </c>
      <c r="E70" s="43">
        <f t="shared" si="12"/>
        <v>0</v>
      </c>
      <c r="F70" s="118">
        <v>0</v>
      </c>
      <c r="G70" s="11"/>
      <c r="H70" s="113">
        <v>0</v>
      </c>
      <c r="I70" s="43">
        <f t="shared" si="13"/>
        <v>0</v>
      </c>
      <c r="J70" s="10"/>
      <c r="K70" s="114">
        <v>0</v>
      </c>
      <c r="L70" s="88">
        <f t="shared" si="14"/>
        <v>0</v>
      </c>
      <c r="M70" s="20" t="str">
        <f t="shared" si="15"/>
        <v/>
      </c>
      <c r="N70" s="59">
        <f t="shared" si="16"/>
        <v>0</v>
      </c>
    </row>
    <row r="71" spans="1:14" ht="6.3" customHeight="1" x14ac:dyDescent="0.25">
      <c r="A71" s="21"/>
      <c r="B71" s="21"/>
      <c r="C71" s="21"/>
      <c r="D71" s="43"/>
      <c r="E71" s="43"/>
      <c r="F71" s="43"/>
      <c r="G71" s="11"/>
      <c r="H71" s="20"/>
      <c r="I71" s="43"/>
      <c r="J71" s="10"/>
      <c r="K71" s="11"/>
      <c r="L71" s="43"/>
      <c r="M71" s="20"/>
      <c r="N71" s="2"/>
    </row>
    <row r="72" spans="1:14" ht="14.4" customHeight="1" x14ac:dyDescent="0.25">
      <c r="B72" s="21"/>
      <c r="C72" s="47" t="s">
        <v>130</v>
      </c>
      <c r="D72" s="64">
        <f>SUM(D53:D70)</f>
        <v>0</v>
      </c>
      <c r="E72" s="64">
        <f>SUM(E53:E70)</f>
        <v>0</v>
      </c>
      <c r="F72" s="64">
        <f>SUM(F53:F70)</f>
        <v>0</v>
      </c>
      <c r="G72" s="11"/>
      <c r="H72" s="20"/>
      <c r="I72" s="64">
        <f>SUM(I53:I70)</f>
        <v>0</v>
      </c>
      <c r="J72" s="10"/>
      <c r="K72" s="11"/>
      <c r="L72" s="64">
        <f>SUM(L53:L70)</f>
        <v>0</v>
      </c>
      <c r="M72" s="20" t="str">
        <f>IF(OR(F72="",F72=0),"",L72/F72-100%)</f>
        <v/>
      </c>
      <c r="N72" s="2"/>
    </row>
    <row r="73" spans="1:14" ht="6.3" customHeight="1" x14ac:dyDescent="0.25">
      <c r="A73" s="21"/>
      <c r="B73" s="21"/>
      <c r="C73" s="21"/>
      <c r="D73" s="43"/>
      <c r="E73" s="43"/>
      <c r="F73" s="43"/>
      <c r="G73" s="11"/>
      <c r="H73" s="20"/>
      <c r="I73" s="43"/>
      <c r="J73" s="10"/>
      <c r="K73" s="11"/>
      <c r="L73" s="43"/>
      <c r="M73" s="20"/>
      <c r="N73" s="2"/>
    </row>
    <row r="74" spans="1:14" ht="14.4" customHeight="1" x14ac:dyDescent="0.25">
      <c r="B74" s="50" t="s">
        <v>90</v>
      </c>
      <c r="C74" s="65" t="s">
        <v>131</v>
      </c>
      <c r="D74" s="66"/>
      <c r="E74" s="53"/>
      <c r="F74" s="53"/>
      <c r="G74" s="61"/>
      <c r="H74" s="62"/>
      <c r="I74" s="53"/>
      <c r="J74" s="55"/>
      <c r="K74" s="61"/>
      <c r="L74" s="53"/>
      <c r="M74" s="20"/>
      <c r="N74" s="2"/>
    </row>
    <row r="75" spans="1:14" ht="6.3" customHeight="1" x14ac:dyDescent="0.25">
      <c r="A75" s="21"/>
      <c r="B75" s="21"/>
      <c r="C75" s="21"/>
      <c r="D75" s="21"/>
      <c r="E75" s="16"/>
      <c r="F75" s="16"/>
      <c r="G75" s="11"/>
      <c r="H75" s="20"/>
      <c r="I75" s="16"/>
      <c r="J75" s="10"/>
      <c r="K75" s="18"/>
      <c r="L75" s="16"/>
      <c r="M75" s="19"/>
      <c r="N75" s="2"/>
    </row>
    <row r="76" spans="1:14" ht="14.4" customHeight="1" x14ac:dyDescent="0.25">
      <c r="A76" s="16"/>
      <c r="B76" s="110">
        <v>9000</v>
      </c>
      <c r="C76" s="111" t="s">
        <v>92</v>
      </c>
      <c r="D76" s="112">
        <v>0</v>
      </c>
      <c r="E76" s="43">
        <f>IF(OR($H$2="",$H$2&lt;=0,$H$2&gt;12),"",(D76/$H$2)*12)</f>
        <v>0</v>
      </c>
      <c r="F76" s="166">
        <v>10000</v>
      </c>
      <c r="G76" s="11"/>
      <c r="H76" s="20"/>
      <c r="I76" s="43">
        <f>F76</f>
        <v>10000</v>
      </c>
      <c r="J76" s="10"/>
      <c r="K76" s="114">
        <v>0</v>
      </c>
      <c r="L76" s="58">
        <f>I76+K76</f>
        <v>10000</v>
      </c>
      <c r="M76" s="20">
        <f>IF(OR(F76="",F76=0),"",L76/F76-100%)</f>
        <v>0</v>
      </c>
      <c r="N76" s="59">
        <f>L76-F76</f>
        <v>0</v>
      </c>
    </row>
    <row r="77" spans="1:14" ht="6.75" customHeight="1" x14ac:dyDescent="0.25">
      <c r="A77" s="21"/>
      <c r="B77" s="21"/>
      <c r="C77" s="21"/>
      <c r="D77" s="64"/>
      <c r="E77" s="64"/>
      <c r="F77" s="64"/>
      <c r="G77" s="11"/>
      <c r="H77" s="20"/>
      <c r="I77" s="64"/>
      <c r="J77" s="10"/>
      <c r="K77" s="11"/>
      <c r="L77" s="64" t="s">
        <v>92</v>
      </c>
      <c r="M77" s="20"/>
      <c r="N77" s="2"/>
    </row>
    <row r="78" spans="1:14" ht="14.4" customHeight="1" x14ac:dyDescent="0.25">
      <c r="B78" s="21"/>
      <c r="C78" s="47" t="s">
        <v>132</v>
      </c>
      <c r="D78" s="48">
        <f>SUM(D76)</f>
        <v>0</v>
      </c>
      <c r="E78" s="43">
        <f>SUM(E76)</f>
        <v>0</v>
      </c>
      <c r="F78" s="48">
        <f>SUM(F76)</f>
        <v>10000</v>
      </c>
      <c r="G78" s="11"/>
      <c r="H78" s="20"/>
      <c r="I78" s="48">
        <f>SUM(I76)</f>
        <v>10000</v>
      </c>
      <c r="J78" s="10"/>
      <c r="K78" s="11"/>
      <c r="L78" s="48">
        <f>SUM(L76)</f>
        <v>10000</v>
      </c>
      <c r="M78" s="20">
        <f>IF(OR(F78="",F78=0),"",L78/F78-100%)</f>
        <v>0</v>
      </c>
      <c r="N78" s="2"/>
    </row>
    <row r="79" spans="1:14" ht="6.3" customHeight="1" x14ac:dyDescent="0.25">
      <c r="A79" s="21"/>
      <c r="B79" s="21"/>
      <c r="C79" s="21"/>
      <c r="D79" s="64"/>
      <c r="E79" s="64"/>
      <c r="F79" s="64"/>
      <c r="G79" s="11"/>
      <c r="H79" s="20"/>
      <c r="I79" s="64"/>
      <c r="J79" s="10"/>
      <c r="K79" s="11"/>
      <c r="L79" s="64" t="s">
        <v>92</v>
      </c>
      <c r="M79" s="20"/>
      <c r="N79" s="2"/>
    </row>
    <row r="80" spans="1:14" ht="6.3" customHeight="1" x14ac:dyDescent="0.25">
      <c r="A80" s="21"/>
      <c r="B80" s="21"/>
      <c r="C80" s="21"/>
      <c r="D80" s="43"/>
      <c r="E80" s="43"/>
      <c r="F80" s="43"/>
      <c r="G80" s="11"/>
      <c r="H80" s="20"/>
      <c r="I80" s="43"/>
      <c r="J80" s="10"/>
      <c r="K80" s="11"/>
      <c r="L80" s="43"/>
      <c r="M80" s="20"/>
      <c r="N80" s="2"/>
    </row>
    <row r="81" spans="1:16" ht="14.4" customHeight="1" x14ac:dyDescent="0.25">
      <c r="B81" s="67"/>
      <c r="C81" s="50" t="s">
        <v>133</v>
      </c>
      <c r="D81" s="68">
        <f>D37+D49+D72+D78</f>
        <v>0</v>
      </c>
      <c r="E81" s="68">
        <f>E37+E49+E72+E78</f>
        <v>0</v>
      </c>
      <c r="F81" s="68">
        <f>F37+F49+F72+F78</f>
        <v>10000</v>
      </c>
      <c r="G81" s="61"/>
      <c r="H81" s="62"/>
      <c r="I81" s="68">
        <f>I72+I49+I37+I78</f>
        <v>10000</v>
      </c>
      <c r="J81" s="55"/>
      <c r="K81" s="61"/>
      <c r="L81" s="68">
        <f>L72+L49+L37+L78</f>
        <v>10000</v>
      </c>
      <c r="M81" s="20">
        <f>IF(OR(F81="",F81=0),"",L81/F81-100%)</f>
        <v>0</v>
      </c>
      <c r="N81" s="69"/>
    </row>
    <row r="82" spans="1:16" ht="6.3" customHeight="1" x14ac:dyDescent="0.25">
      <c r="A82" s="21"/>
      <c r="B82" s="21"/>
      <c r="C82" s="21"/>
      <c r="D82" s="70"/>
      <c r="E82" s="70"/>
      <c r="F82" s="70"/>
      <c r="G82" s="11"/>
      <c r="H82" s="20"/>
      <c r="I82" s="70"/>
      <c r="J82" s="10"/>
      <c r="K82" s="11"/>
      <c r="L82" s="70" t="s">
        <v>92</v>
      </c>
      <c r="M82" s="20"/>
      <c r="N82" s="2"/>
    </row>
    <row r="83" spans="1:16" ht="5.7" customHeight="1" x14ac:dyDescent="0.25">
      <c r="A83" s="21"/>
      <c r="B83" s="21"/>
      <c r="C83" s="21"/>
      <c r="D83" s="70"/>
      <c r="E83" s="70"/>
      <c r="F83" s="70"/>
      <c r="G83" s="11"/>
      <c r="H83" s="20"/>
      <c r="I83" s="70"/>
      <c r="J83" s="10"/>
      <c r="K83" s="11"/>
      <c r="L83" s="70"/>
      <c r="M83" s="20"/>
      <c r="N83" s="2"/>
    </row>
    <row r="84" spans="1:16" ht="14.4" customHeight="1" x14ac:dyDescent="0.25">
      <c r="B84" s="49"/>
      <c r="C84" s="47" t="s">
        <v>99</v>
      </c>
      <c r="D84" s="71">
        <f>D22</f>
        <v>0</v>
      </c>
      <c r="E84" s="71">
        <f>E22</f>
        <v>0</v>
      </c>
      <c r="F84" s="71">
        <f>F22</f>
        <v>0</v>
      </c>
      <c r="G84" s="11"/>
      <c r="H84" s="20"/>
      <c r="I84" s="71">
        <f>I22</f>
        <v>10000</v>
      </c>
      <c r="J84" s="10"/>
      <c r="K84" s="11"/>
      <c r="L84" s="71">
        <f>L22</f>
        <v>10000</v>
      </c>
      <c r="M84" s="20" t="str">
        <f>IF(OR(F84="",F84=0),"",L84/F84-100%)</f>
        <v/>
      </c>
      <c r="N84" s="69"/>
    </row>
    <row r="85" spans="1:16" ht="11.55" customHeight="1" x14ac:dyDescent="0.25">
      <c r="B85" s="49"/>
      <c r="C85" s="47"/>
      <c r="D85" s="71"/>
      <c r="E85" s="71"/>
      <c r="F85" s="71"/>
      <c r="G85" s="11"/>
      <c r="H85" s="20"/>
      <c r="I85" s="43"/>
      <c r="J85" s="10"/>
      <c r="K85" s="11"/>
      <c r="L85" s="43"/>
      <c r="M85" s="20"/>
      <c r="N85" s="2"/>
    </row>
    <row r="86" spans="1:16" ht="14.4" customHeight="1" x14ac:dyDescent="0.25">
      <c r="B86" s="49"/>
      <c r="C86" s="47" t="s">
        <v>133</v>
      </c>
      <c r="D86" s="48">
        <f>D81</f>
        <v>0</v>
      </c>
      <c r="E86" s="48">
        <f>E81</f>
        <v>0</v>
      </c>
      <c r="F86" s="48">
        <f>F81</f>
        <v>10000</v>
      </c>
      <c r="G86" s="11"/>
      <c r="H86" s="20"/>
      <c r="I86" s="48">
        <f>I81</f>
        <v>10000</v>
      </c>
      <c r="J86" s="10"/>
      <c r="K86" s="11"/>
      <c r="L86" s="48">
        <f>L81</f>
        <v>10000</v>
      </c>
      <c r="M86" s="20">
        <f>IF(OR(F86="",F86=0),"",L86/F86-100%)</f>
        <v>0</v>
      </c>
      <c r="N86" s="2"/>
    </row>
    <row r="87" spans="1:16" ht="11.1" customHeight="1" x14ac:dyDescent="0.25">
      <c r="B87" s="49"/>
      <c r="C87" s="47"/>
      <c r="D87" s="64"/>
      <c r="E87" s="64"/>
      <c r="F87" s="64"/>
      <c r="G87" s="11"/>
      <c r="H87" s="20"/>
      <c r="I87" s="43"/>
      <c r="J87" s="10"/>
      <c r="K87" s="11"/>
      <c r="L87" s="43"/>
      <c r="M87" s="20"/>
      <c r="N87" s="2"/>
    </row>
    <row r="88" spans="1:16" ht="14.4" customHeight="1" x14ac:dyDescent="0.25">
      <c r="B88" s="67"/>
      <c r="C88" s="50" t="s">
        <v>134</v>
      </c>
      <c r="D88" s="68">
        <f>D84-D86</f>
        <v>0</v>
      </c>
      <c r="E88" s="68">
        <f>E84-E86</f>
        <v>0</v>
      </c>
      <c r="F88" s="68">
        <f>F84-F86</f>
        <v>-10000</v>
      </c>
      <c r="G88" s="61"/>
      <c r="H88" s="62"/>
      <c r="I88" s="68">
        <f>I84-I86</f>
        <v>0</v>
      </c>
      <c r="J88" s="55"/>
      <c r="K88" s="61"/>
      <c r="L88" s="68">
        <f>L84-L86</f>
        <v>0</v>
      </c>
      <c r="M88" s="20"/>
      <c r="N88" s="2"/>
    </row>
    <row r="89" spans="1:16" ht="14.4" customHeight="1" x14ac:dyDescent="0.25">
      <c r="J89" s="10"/>
      <c r="K89" s="7"/>
      <c r="L89" s="2"/>
      <c r="M89" s="72"/>
      <c r="N89" s="2"/>
    </row>
    <row r="90" spans="1:16" ht="11.55" customHeight="1" x14ac:dyDescent="0.25">
      <c r="B90" s="73" t="s">
        <v>135</v>
      </c>
      <c r="C90" s="116"/>
      <c r="D90" s="201" t="s">
        <v>136</v>
      </c>
      <c r="E90" s="202"/>
      <c r="F90" s="202"/>
      <c r="G90" s="202"/>
      <c r="H90" s="202"/>
      <c r="I90" s="202"/>
      <c r="J90" s="202"/>
      <c r="K90" s="74"/>
      <c r="L90" s="204" t="s">
        <v>84</v>
      </c>
      <c r="M90" s="204" t="s">
        <v>85</v>
      </c>
      <c r="N90" s="204" t="s">
        <v>137</v>
      </c>
      <c r="O90" s="204" t="s">
        <v>138</v>
      </c>
      <c r="P90" s="204" t="s">
        <v>88</v>
      </c>
    </row>
    <row r="91" spans="1:16" ht="7.2" customHeight="1" x14ac:dyDescent="0.25">
      <c r="D91" s="174"/>
      <c r="E91" s="174"/>
      <c r="F91" s="174"/>
      <c r="G91" s="174"/>
      <c r="H91" s="174"/>
      <c r="I91" s="173"/>
      <c r="J91" s="175"/>
      <c r="K91" s="74"/>
      <c r="L91" s="205"/>
      <c r="M91" s="204"/>
      <c r="N91" s="206"/>
      <c r="O91" s="202"/>
      <c r="P91" s="202"/>
    </row>
    <row r="92" spans="1:16" ht="11.55" customHeight="1" x14ac:dyDescent="0.25">
      <c r="B92" s="74" t="s">
        <v>139</v>
      </c>
      <c r="C92" s="117"/>
      <c r="D92" s="201" t="s">
        <v>140</v>
      </c>
      <c r="E92" s="202"/>
      <c r="F92" s="202"/>
      <c r="G92" s="202"/>
      <c r="H92" s="202"/>
      <c r="I92" s="202"/>
      <c r="J92" s="202"/>
      <c r="K92" s="73"/>
      <c r="L92" s="205"/>
      <c r="M92" s="204"/>
      <c r="N92" s="206"/>
      <c r="O92" s="202"/>
      <c r="P92" s="202"/>
    </row>
    <row r="93" spans="1:16" ht="6.75" customHeight="1" x14ac:dyDescent="0.25">
      <c r="D93" s="174"/>
      <c r="E93" s="174"/>
      <c r="F93" s="174"/>
      <c r="G93" s="174"/>
      <c r="H93" s="174"/>
      <c r="I93" s="173"/>
      <c r="J93" s="175"/>
      <c r="K93" s="74"/>
      <c r="L93" s="205"/>
      <c r="M93" s="204"/>
      <c r="N93" s="206"/>
      <c r="O93" s="202"/>
      <c r="P93" s="202"/>
    </row>
    <row r="94" spans="1:16" ht="11.55" customHeight="1" x14ac:dyDescent="0.25">
      <c r="B94" s="74" t="s">
        <v>141</v>
      </c>
      <c r="C94" s="75"/>
      <c r="D94" s="201" t="s">
        <v>142</v>
      </c>
      <c r="E94" s="202"/>
      <c r="F94" s="202"/>
      <c r="G94" s="202"/>
      <c r="H94" s="202"/>
      <c r="I94" s="202"/>
      <c r="J94" s="202"/>
      <c r="K94" s="74"/>
      <c r="L94" s="205"/>
      <c r="M94" s="204"/>
      <c r="N94" s="206"/>
      <c r="O94" s="202"/>
      <c r="P94" s="202"/>
    </row>
    <row r="95" spans="1:16" ht="5.7" customHeight="1" x14ac:dyDescent="0.25">
      <c r="I95" s="7"/>
      <c r="J95" s="8"/>
      <c r="K95" s="74"/>
      <c r="L95" s="2"/>
      <c r="M95" s="2"/>
      <c r="N95" s="1"/>
    </row>
    <row r="96" spans="1:16" s="6" customFormat="1" ht="15.6" customHeight="1" x14ac:dyDescent="0.3">
      <c r="B96" s="211" t="s">
        <v>143</v>
      </c>
      <c r="C96" s="212"/>
      <c r="D96" s="212"/>
      <c r="E96" s="212"/>
      <c r="F96" s="212"/>
      <c r="G96" s="212"/>
      <c r="H96" s="212"/>
      <c r="I96" s="212"/>
      <c r="J96" s="213"/>
      <c r="K96" s="76"/>
      <c r="L96" s="95">
        <f>L7</f>
        <v>18.115942028985508</v>
      </c>
      <c r="M96" s="29">
        <f>$M$7</f>
        <v>6.0386473429951693</v>
      </c>
      <c r="N96" s="29">
        <f>N7</f>
        <v>18.115942028985508</v>
      </c>
      <c r="O96" s="29">
        <f>O7</f>
        <v>72.463768115942031</v>
      </c>
      <c r="P96" s="30" t="str">
        <f>P7</f>
        <v/>
      </c>
    </row>
    <row r="97" spans="2:14" ht="14.4" customHeight="1" x14ac:dyDescent="0.25">
      <c r="I97" s="7"/>
      <c r="J97" s="8"/>
      <c r="K97" s="8"/>
      <c r="L97" s="2"/>
      <c r="M97" s="1"/>
      <c r="N97" s="2"/>
    </row>
    <row r="98" spans="2:14" ht="11.55" customHeight="1" x14ac:dyDescent="0.25">
      <c r="B98" s="76"/>
      <c r="C98" s="76"/>
      <c r="D98" s="76"/>
      <c r="E98" s="76"/>
      <c r="F98" s="76"/>
      <c r="G98" s="76"/>
      <c r="H98" s="76"/>
      <c r="I98" s="76"/>
      <c r="J98" s="76"/>
      <c r="K98" s="2"/>
      <c r="L98" s="1"/>
      <c r="M98" s="2"/>
      <c r="N98" s="2"/>
    </row>
    <row r="99" spans="2:14" ht="14.4" customHeight="1" x14ac:dyDescent="0.25">
      <c r="I99" s="7"/>
      <c r="J99" s="8"/>
      <c r="K99" s="8"/>
      <c r="L99" s="2"/>
      <c r="M99" s="1"/>
      <c r="N99" s="2"/>
    </row>
    <row r="100" spans="2:14" ht="14.4" customHeight="1" x14ac:dyDescent="0.25">
      <c r="I100" s="7"/>
      <c r="J100" s="8"/>
      <c r="K100" s="8"/>
      <c r="L100" s="2"/>
      <c r="M100" s="1"/>
      <c r="N100" s="2"/>
    </row>
    <row r="101" spans="2:14" ht="14.4" customHeight="1" x14ac:dyDescent="0.25">
      <c r="J101" s="6"/>
      <c r="K101" s="8"/>
      <c r="L101" s="8"/>
      <c r="M101" s="1"/>
      <c r="N101" s="2"/>
    </row>
    <row r="102" spans="2:14" ht="14.4" customHeight="1" x14ac:dyDescent="0.25">
      <c r="J102" s="6"/>
      <c r="K102" s="8"/>
      <c r="L102" s="8"/>
      <c r="M102" s="1"/>
      <c r="N102" s="2"/>
    </row>
    <row r="103" spans="2:14" ht="14.4" customHeight="1" x14ac:dyDescent="0.25">
      <c r="J103" s="6"/>
      <c r="K103" s="8"/>
      <c r="L103" s="8"/>
      <c r="M103" s="1"/>
      <c r="N103" s="2"/>
    </row>
    <row r="104" spans="2:14" ht="14.4" customHeight="1" x14ac:dyDescent="0.25">
      <c r="J104" s="6"/>
      <c r="K104" s="8"/>
      <c r="L104" s="8"/>
      <c r="M104" s="1"/>
      <c r="N104" s="2"/>
    </row>
    <row r="105" spans="2:14" ht="14.4" customHeight="1" x14ac:dyDescent="0.25">
      <c r="J105" s="6"/>
      <c r="K105" s="8"/>
      <c r="L105" s="8"/>
      <c r="M105" s="1"/>
      <c r="N105" s="2"/>
    </row>
    <row r="106" spans="2:14" ht="14.4" customHeight="1" x14ac:dyDescent="0.25">
      <c r="J106" s="6"/>
      <c r="K106" s="8"/>
      <c r="L106" s="8"/>
      <c r="M106" s="1"/>
      <c r="N106" s="2"/>
    </row>
    <row r="107" spans="2:14" ht="14.4" customHeight="1" x14ac:dyDescent="0.25">
      <c r="J107" s="6"/>
      <c r="K107" s="8"/>
      <c r="L107" s="8"/>
      <c r="M107" s="1"/>
      <c r="N107" s="2"/>
    </row>
    <row r="108" spans="2:14" ht="14.4" customHeight="1" x14ac:dyDescent="0.25">
      <c r="J108" s="6"/>
      <c r="K108" s="8"/>
      <c r="L108" s="8"/>
      <c r="M108" s="1"/>
      <c r="N108" s="2"/>
    </row>
    <row r="109" spans="2:14" ht="14.4" customHeight="1" x14ac:dyDescent="0.25">
      <c r="H109" s="1"/>
      <c r="J109" s="6"/>
      <c r="K109" s="8"/>
      <c r="L109" s="8"/>
      <c r="M109" s="1"/>
      <c r="N109" s="2"/>
    </row>
    <row r="110" spans="2:14" ht="14.4" customHeight="1" x14ac:dyDescent="0.25">
      <c r="J110" s="6"/>
      <c r="K110" s="8"/>
      <c r="L110" s="8"/>
      <c r="M110" s="1"/>
      <c r="N110" s="2"/>
    </row>
    <row r="111" spans="2:14" ht="14.4" customHeight="1" x14ac:dyDescent="0.25">
      <c r="J111" s="6"/>
      <c r="K111" s="8"/>
      <c r="L111" s="8"/>
      <c r="M111" s="1"/>
      <c r="N111" s="2"/>
    </row>
    <row r="112" spans="2:14" ht="14.4" customHeight="1" x14ac:dyDescent="0.25">
      <c r="J112" s="6"/>
      <c r="K112" s="8"/>
      <c r="L112" s="8"/>
      <c r="M112" s="1"/>
      <c r="N112" s="2"/>
    </row>
    <row r="113" spans="10:14" ht="14.4" customHeight="1" x14ac:dyDescent="0.25">
      <c r="J113" s="6"/>
      <c r="K113" s="8"/>
      <c r="L113" s="8"/>
      <c r="M113" s="1"/>
      <c r="N113" s="2"/>
    </row>
    <row r="114" spans="10:14" ht="14.4" customHeight="1" x14ac:dyDescent="0.25">
      <c r="J114" s="6"/>
      <c r="K114" s="8"/>
      <c r="L114" s="8"/>
      <c r="M114" s="1"/>
      <c r="N114" s="2"/>
    </row>
    <row r="115" spans="10:14" ht="14.4" customHeight="1" x14ac:dyDescent="0.25">
      <c r="J115" s="6"/>
      <c r="K115" s="8"/>
      <c r="L115" s="8"/>
      <c r="M115" s="1"/>
      <c r="N115" s="2"/>
    </row>
    <row r="116" spans="10:14" ht="14.4" customHeight="1" x14ac:dyDescent="0.25">
      <c r="J116" s="6"/>
      <c r="K116" s="8"/>
      <c r="L116" s="8"/>
      <c r="M116" s="1"/>
      <c r="N116" s="2"/>
    </row>
    <row r="117" spans="10:14" ht="14.4" customHeight="1" x14ac:dyDescent="0.25">
      <c r="J117" s="6"/>
      <c r="K117" s="8"/>
      <c r="L117" s="8"/>
      <c r="M117" s="1"/>
      <c r="N117" s="2"/>
    </row>
    <row r="118" spans="10:14" ht="14.4" customHeight="1" x14ac:dyDescent="0.25">
      <c r="J118" s="6"/>
      <c r="K118" s="8"/>
      <c r="L118" s="8"/>
      <c r="M118" s="1"/>
      <c r="N118" s="2"/>
    </row>
    <row r="119" spans="10:14" ht="14.4" customHeight="1" x14ac:dyDescent="0.25">
      <c r="J119" s="6"/>
      <c r="K119" s="8"/>
      <c r="L119" s="8"/>
      <c r="M119" s="1"/>
      <c r="N119" s="2"/>
    </row>
    <row r="120" spans="10:14" ht="14.4" customHeight="1" x14ac:dyDescent="0.25">
      <c r="J120" s="6"/>
      <c r="K120" s="8"/>
      <c r="L120" s="8"/>
      <c r="M120" s="1"/>
      <c r="N120" s="2"/>
    </row>
    <row r="121" spans="10:14" ht="14.4" customHeight="1" x14ac:dyDescent="0.25">
      <c r="J121" s="6"/>
      <c r="K121" s="8"/>
      <c r="L121" s="8"/>
      <c r="M121" s="1"/>
      <c r="N121" s="2"/>
    </row>
    <row r="122" spans="10:14" ht="14.4" customHeight="1" x14ac:dyDescent="0.25">
      <c r="J122" s="6"/>
      <c r="K122" s="8"/>
      <c r="L122" s="8"/>
      <c r="M122" s="1"/>
      <c r="N122" s="2"/>
    </row>
    <row r="123" spans="10:14" ht="14.4" customHeight="1" x14ac:dyDescent="0.25">
      <c r="J123" s="6"/>
      <c r="K123" s="8"/>
      <c r="L123" s="8"/>
      <c r="M123" s="1"/>
      <c r="N123" s="2"/>
    </row>
    <row r="124" spans="10:14" ht="14.4" customHeight="1" x14ac:dyDescent="0.25">
      <c r="J124" s="6"/>
      <c r="K124" s="8"/>
      <c r="L124" s="8"/>
      <c r="M124" s="1"/>
      <c r="N124" s="2"/>
    </row>
    <row r="125" spans="10:14" ht="14.4" customHeight="1" x14ac:dyDescent="0.25">
      <c r="J125" s="6"/>
      <c r="K125" s="8"/>
      <c r="L125" s="8"/>
      <c r="M125" s="1"/>
      <c r="N125" s="2"/>
    </row>
    <row r="126" spans="10:14" ht="14.4" customHeight="1" x14ac:dyDescent="0.25">
      <c r="J126" s="6"/>
      <c r="K126" s="8"/>
      <c r="L126" s="8"/>
      <c r="M126" s="1"/>
      <c r="N126" s="2"/>
    </row>
    <row r="127" spans="10:14" ht="14.4" customHeight="1" x14ac:dyDescent="0.25">
      <c r="J127" s="6"/>
      <c r="K127" s="8"/>
      <c r="L127" s="8"/>
      <c r="M127" s="1"/>
      <c r="N127" s="2"/>
    </row>
    <row r="128" spans="10:14" ht="14.4" customHeight="1" x14ac:dyDescent="0.25">
      <c r="J128" s="6"/>
      <c r="K128" s="8"/>
      <c r="L128" s="8"/>
      <c r="M128" s="1"/>
      <c r="N128" s="2"/>
    </row>
    <row r="129" spans="10:14" ht="14.4" customHeight="1" x14ac:dyDescent="0.25">
      <c r="J129" s="6"/>
      <c r="K129" s="8"/>
      <c r="L129" s="8"/>
      <c r="M129" s="1"/>
      <c r="N129" s="2"/>
    </row>
    <row r="130" spans="10:14" ht="14.4" customHeight="1" x14ac:dyDescent="0.25">
      <c r="J130" s="6"/>
      <c r="K130" s="8"/>
      <c r="L130" s="8"/>
      <c r="M130" s="1"/>
      <c r="N130" s="2"/>
    </row>
    <row r="131" spans="10:14" ht="14.4" customHeight="1" x14ac:dyDescent="0.25">
      <c r="J131" s="6"/>
      <c r="K131" s="8"/>
      <c r="L131" s="8"/>
      <c r="M131" s="1"/>
      <c r="N131" s="2"/>
    </row>
    <row r="132" spans="10:14" ht="14.4" customHeight="1" x14ac:dyDescent="0.25">
      <c r="J132" s="6"/>
      <c r="K132" s="8"/>
      <c r="L132" s="8"/>
      <c r="M132" s="1"/>
      <c r="N132" s="2"/>
    </row>
    <row r="133" spans="10:14" ht="14.4" customHeight="1" x14ac:dyDescent="0.25">
      <c r="J133" s="6"/>
      <c r="K133" s="8"/>
      <c r="L133" s="8"/>
      <c r="M133" s="1"/>
      <c r="N133" s="2"/>
    </row>
    <row r="134" spans="10:14" ht="14.4" customHeight="1" x14ac:dyDescent="0.25">
      <c r="J134" s="6"/>
      <c r="K134" s="8"/>
      <c r="L134" s="8"/>
      <c r="M134" s="1"/>
      <c r="N134" s="2"/>
    </row>
    <row r="135" spans="10:14" ht="14.4" customHeight="1" x14ac:dyDescent="0.25">
      <c r="J135" s="6"/>
      <c r="K135" s="8"/>
      <c r="L135" s="8"/>
      <c r="M135" s="1"/>
      <c r="N135" s="2"/>
    </row>
    <row r="136" spans="10:14" ht="14.4" customHeight="1" x14ac:dyDescent="0.25">
      <c r="K136" s="77"/>
    </row>
    <row r="137" spans="10:14" ht="14.4" customHeight="1" x14ac:dyDescent="0.25">
      <c r="K137" s="77"/>
    </row>
  </sheetData>
  <sheetProtection sheet="1"/>
  <mergeCells count="14">
    <mergeCell ref="B96:J96"/>
    <mergeCell ref="D90:J90"/>
    <mergeCell ref="E3:F3"/>
    <mergeCell ref="P90:P94"/>
    <mergeCell ref="N90:N94"/>
    <mergeCell ref="D92:J92"/>
    <mergeCell ref="O90:O94"/>
    <mergeCell ref="I3:N3"/>
    <mergeCell ref="D94:J94"/>
    <mergeCell ref="I2:N2"/>
    <mergeCell ref="E2:F2"/>
    <mergeCell ref="C5:D5"/>
    <mergeCell ref="L90:L94"/>
    <mergeCell ref="M90:M94"/>
  </mergeCells>
  <dataValidations count="2">
    <dataValidation type="whole" showErrorMessage="1" errorTitle="Enter completed months" error="Enter a whole number from 1 to 12." sqref="H2" xr:uid="{00000000-0002-0000-0200-000000000000}">
      <formula1>1</formula1>
      <formula2>12</formula2>
    </dataValidation>
    <dataValidation type="whole" operator="greaterThan" showErrorMessage="1" error="Enter a positive whole number of units." sqref="H3" xr:uid="{00000000-0002-0000-0200-000001000000}">
      <formula1>0</formula1>
    </dataValidation>
  </dataValidations>
  <pageMargins left="0.7" right="0.7" top="0.75" bottom="0.75" header="0.3" footer="0.3"/>
  <pageSetup scale="72" fitToHeight="0"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S95"/>
  <sheetViews>
    <sheetView topLeftCell="A73" workbookViewId="0">
      <selection activeCell="C104" sqref="C104"/>
    </sheetView>
  </sheetViews>
  <sheetFormatPr defaultColWidth="8.88671875" defaultRowHeight="13.8" x14ac:dyDescent="0.3"/>
  <cols>
    <col min="1" max="1" width="19.109375" style="43" customWidth="1"/>
    <col min="2" max="2" width="12.6640625" style="43" customWidth="1"/>
    <col min="3" max="3" width="9" style="43" customWidth="1"/>
    <col min="4" max="5" width="11.109375" style="43" customWidth="1"/>
    <col min="6" max="6" width="10.33203125" style="43" customWidth="1"/>
    <col min="7" max="7" width="9.77734375" style="43" customWidth="1"/>
    <col min="8" max="8" width="10.6640625" style="43" customWidth="1"/>
    <col min="9" max="9" width="9.77734375" style="43" customWidth="1"/>
    <col min="10" max="10" width="10.44140625" style="43" customWidth="1"/>
    <col min="11" max="17" width="9.77734375" style="43" customWidth="1"/>
    <col min="18" max="18" width="9.6640625" style="43" customWidth="1"/>
    <col min="19" max="19" width="8.77734375" style="43" customWidth="1"/>
    <col min="20" max="20" width="9.21875" style="43" customWidth="1"/>
    <col min="21" max="21" width="9.33203125" style="43" customWidth="1"/>
    <col min="22" max="22" width="10.21875" style="43" customWidth="1"/>
    <col min="23" max="23" width="9" style="43" customWidth="1"/>
    <col min="24" max="24" width="9.21875" style="43" customWidth="1"/>
    <col min="25" max="26" width="7.77734375" style="43" customWidth="1"/>
    <col min="27" max="70" width="9" style="43" hidden="1" customWidth="1"/>
    <col min="71" max="71" width="8.88671875" style="43" customWidth="1"/>
    <col min="72" max="16384" width="8.88671875" style="43"/>
  </cols>
  <sheetData>
    <row r="1" spans="1:71" ht="11.1" customHeight="1" x14ac:dyDescent="0.25">
      <c r="B1" s="78"/>
      <c r="C1" s="78"/>
      <c r="D1" s="129"/>
      <c r="E1" s="129"/>
      <c r="F1" s="129"/>
      <c r="G1" s="129"/>
      <c r="H1" s="129"/>
      <c r="I1" s="129"/>
      <c r="J1" s="129"/>
      <c r="K1" s="129"/>
      <c r="L1" s="129"/>
      <c r="M1" s="129"/>
      <c r="N1" s="129"/>
      <c r="O1" s="129"/>
      <c r="P1" s="129"/>
      <c r="Q1" s="129"/>
      <c r="R1" s="129"/>
      <c r="S1" s="129"/>
      <c r="T1" s="129"/>
      <c r="U1" s="129"/>
      <c r="V1" s="129"/>
      <c r="W1" s="129"/>
      <c r="X1" s="129"/>
      <c r="Y1" s="129"/>
      <c r="Z1" s="129"/>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9"/>
      <c r="BQ1" s="79"/>
    </row>
    <row r="2" spans="1:71" ht="30.6" customHeight="1" x14ac:dyDescent="0.3">
      <c r="A2" s="80" t="s">
        <v>0</v>
      </c>
      <c r="B2" s="130" t="s">
        <v>1</v>
      </c>
      <c r="C2" s="128">
        <v>2027</v>
      </c>
      <c r="D2" s="81" t="s">
        <v>2</v>
      </c>
      <c r="E2" s="6"/>
      <c r="F2" s="131" t="s">
        <v>3</v>
      </c>
      <c r="G2" s="178">
        <f>'Budget COMPLETED example'!$H$3</f>
        <v>138</v>
      </c>
      <c r="H2" s="131" t="s">
        <v>4</v>
      </c>
      <c r="I2" s="187">
        <v>3000000</v>
      </c>
      <c r="J2" s="188"/>
      <c r="K2" s="87" t="s">
        <v>5</v>
      </c>
      <c r="L2" s="179">
        <f>IFERROR(I2/G2,0)</f>
        <v>21739.130434782608</v>
      </c>
    </row>
    <row r="3" spans="1:71" ht="11.1" customHeight="1" x14ac:dyDescent="0.3">
      <c r="B3" s="78"/>
      <c r="C3" s="78"/>
      <c r="D3" s="129"/>
      <c r="E3" s="129"/>
      <c r="F3" s="189" t="s">
        <v>6</v>
      </c>
      <c r="G3" s="190"/>
      <c r="H3" s="190"/>
      <c r="I3" s="190"/>
      <c r="J3" s="190"/>
      <c r="K3" s="190"/>
      <c r="L3" s="190"/>
      <c r="N3" s="129"/>
      <c r="O3" s="129"/>
      <c r="P3" s="129"/>
      <c r="Q3" s="129"/>
      <c r="R3" s="129"/>
      <c r="S3" s="129"/>
      <c r="T3" s="129"/>
      <c r="U3" s="129"/>
      <c r="V3" s="129"/>
      <c r="W3" s="129"/>
      <c r="X3" s="129"/>
      <c r="Y3" s="129"/>
      <c r="Z3" s="129"/>
      <c r="AA3" s="129"/>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9"/>
      <c r="BR3" s="79"/>
    </row>
    <row r="4" spans="1:71" ht="11.1" customHeight="1" x14ac:dyDescent="0.25">
      <c r="B4" s="78"/>
      <c r="C4" s="78"/>
      <c r="D4" s="129"/>
      <c r="E4" s="129"/>
      <c r="F4" s="129"/>
      <c r="G4" s="129"/>
      <c r="H4" s="129"/>
      <c r="I4" s="129"/>
      <c r="J4" s="129"/>
      <c r="K4" s="129"/>
      <c r="L4" s="129"/>
      <c r="M4" s="129"/>
      <c r="N4" s="129"/>
      <c r="O4" s="129"/>
      <c r="P4" s="129"/>
      <c r="Q4" s="129"/>
      <c r="R4" s="129"/>
      <c r="S4" s="129"/>
      <c r="T4" s="129"/>
      <c r="U4" s="129"/>
      <c r="V4" s="129"/>
      <c r="W4" s="129"/>
      <c r="X4" s="129"/>
      <c r="Y4" s="129"/>
      <c r="Z4" s="129"/>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9"/>
      <c r="BQ4" s="79"/>
    </row>
    <row r="5" spans="1:71" ht="31.2" customHeight="1" x14ac:dyDescent="0.25">
      <c r="A5" s="132" t="s">
        <v>7</v>
      </c>
      <c r="B5" s="130" t="s">
        <v>8</v>
      </c>
      <c r="C5" s="82" t="s">
        <v>9</v>
      </c>
      <c r="D5" s="130" t="s">
        <v>10</v>
      </c>
      <c r="E5" s="130" t="s">
        <v>11</v>
      </c>
      <c r="F5" s="133">
        <f>$C$2+0</f>
        <v>2027</v>
      </c>
      <c r="G5" s="133">
        <f>$C$2+1</f>
        <v>2028</v>
      </c>
      <c r="H5" s="133">
        <f>$C$2+2</f>
        <v>2029</v>
      </c>
      <c r="I5" s="133">
        <f>$C$2+3</f>
        <v>2030</v>
      </c>
      <c r="J5" s="133">
        <f>$C$2+4</f>
        <v>2031</v>
      </c>
      <c r="K5" s="133">
        <f>$C$2+5</f>
        <v>2032</v>
      </c>
      <c r="L5" s="133">
        <f>$C$2+6</f>
        <v>2033</v>
      </c>
      <c r="M5" s="133">
        <f>$C$2+7</f>
        <v>2034</v>
      </c>
      <c r="N5" s="129"/>
      <c r="O5" s="129"/>
      <c r="P5" s="129"/>
      <c r="Q5" s="129"/>
      <c r="R5" s="129"/>
      <c r="S5" s="129"/>
      <c r="T5" s="129"/>
      <c r="U5" s="129"/>
      <c r="V5" s="129"/>
      <c r="W5" s="129"/>
      <c r="X5" s="129"/>
      <c r="Y5" s="129"/>
      <c r="Z5" s="129"/>
      <c r="AA5" s="129"/>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9"/>
      <c r="BR5" s="79"/>
    </row>
    <row r="6" spans="1:71" s="84" customFormat="1" x14ac:dyDescent="0.25">
      <c r="A6" s="134" t="s">
        <v>12</v>
      </c>
      <c r="B6" s="135">
        <v>3000000</v>
      </c>
      <c r="C6" s="136">
        <v>20</v>
      </c>
      <c r="D6" s="136">
        <v>18</v>
      </c>
      <c r="E6" s="180">
        <f t="shared" ref="E6:E11" si="0">IF(OR(B6="",B6=0,D6=""),"",$C$2+D6)</f>
        <v>2045</v>
      </c>
      <c r="F6" s="137">
        <f t="shared" ref="F6:M6" si="1">IFERROR(IF(AND($B6&gt;0,$C6&gt;0,F5&gt;=$C$2+$D6,MOD(F5-$C$2-$D6,$C6)=0),$B6*(1+$B$76)^(F5-$C$2),0),0)</f>
        <v>0</v>
      </c>
      <c r="G6" s="137">
        <f t="shared" si="1"/>
        <v>0</v>
      </c>
      <c r="H6" s="137">
        <f t="shared" si="1"/>
        <v>0</v>
      </c>
      <c r="I6" s="137">
        <f t="shared" si="1"/>
        <v>0</v>
      </c>
      <c r="J6" s="137">
        <f t="shared" si="1"/>
        <v>0</v>
      </c>
      <c r="K6" s="137">
        <f t="shared" si="1"/>
        <v>0</v>
      </c>
      <c r="L6" s="137">
        <f t="shared" si="1"/>
        <v>0</v>
      </c>
      <c r="M6" s="137">
        <f t="shared" si="1"/>
        <v>0</v>
      </c>
      <c r="N6" s="129"/>
      <c r="O6" s="129"/>
      <c r="P6" s="129"/>
      <c r="Q6" s="129"/>
      <c r="R6" s="129"/>
      <c r="S6" s="129"/>
      <c r="T6" s="129"/>
      <c r="U6" s="129"/>
      <c r="V6" s="129"/>
      <c r="W6" s="129"/>
      <c r="X6" s="129"/>
      <c r="Y6" s="129"/>
      <c r="Z6" s="129"/>
      <c r="AA6" s="129"/>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9"/>
      <c r="BR6" s="79"/>
      <c r="BS6" s="83"/>
    </row>
    <row r="7" spans="1:71" s="84" customFormat="1" x14ac:dyDescent="0.25">
      <c r="A7" s="134" t="s">
        <v>13</v>
      </c>
      <c r="B7" s="135">
        <v>175000</v>
      </c>
      <c r="C7" s="136">
        <v>12</v>
      </c>
      <c r="D7" s="136">
        <v>10</v>
      </c>
      <c r="E7" s="180">
        <f t="shared" si="0"/>
        <v>2037</v>
      </c>
      <c r="F7" s="137">
        <f t="shared" ref="F7:M7" si="2">IFERROR(IF(AND($B7&gt;0,$C7&gt;0,F5&gt;=$C$2+$D7,MOD(F5-$C$2-$D7,$C7)=0),$B7*(1+$B$76)^(F5-$C$2),0),0)</f>
        <v>0</v>
      </c>
      <c r="G7" s="137">
        <f t="shared" si="2"/>
        <v>0</v>
      </c>
      <c r="H7" s="137">
        <f t="shared" si="2"/>
        <v>0</v>
      </c>
      <c r="I7" s="137">
        <f t="shared" si="2"/>
        <v>0</v>
      </c>
      <c r="J7" s="137">
        <f t="shared" si="2"/>
        <v>0</v>
      </c>
      <c r="K7" s="137">
        <f t="shared" si="2"/>
        <v>0</v>
      </c>
      <c r="L7" s="137">
        <f t="shared" si="2"/>
        <v>0</v>
      </c>
      <c r="M7" s="137">
        <f t="shared" si="2"/>
        <v>0</v>
      </c>
      <c r="N7" s="129"/>
      <c r="O7" s="129"/>
      <c r="P7" s="129"/>
      <c r="Q7" s="129"/>
      <c r="R7" s="129"/>
      <c r="S7" s="129"/>
      <c r="T7" s="129"/>
      <c r="U7" s="129"/>
      <c r="V7" s="129"/>
      <c r="W7" s="129"/>
      <c r="X7" s="129"/>
      <c r="Y7" s="129"/>
      <c r="Z7" s="129"/>
      <c r="AA7" s="129"/>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9"/>
      <c r="BR7" s="79"/>
      <c r="BS7" s="83"/>
    </row>
    <row r="8" spans="1:71" s="84" customFormat="1" x14ac:dyDescent="0.25">
      <c r="A8" s="138">
        <v>3</v>
      </c>
      <c r="B8" s="135"/>
      <c r="C8" s="136">
        <v>0</v>
      </c>
      <c r="D8" s="136">
        <v>0</v>
      </c>
      <c r="E8" s="180" t="str">
        <f t="shared" si="0"/>
        <v/>
      </c>
      <c r="F8" s="137">
        <f t="shared" ref="F8:M8" si="3">IFERROR(IF(AND($B8&gt;0,$C8&gt;0,F5&gt;=$C$2+$D8,MOD(F5-$C$2-$D8,$C8)=0),$B8*(1+$B$76)^(F5-$C$2),0),0)</f>
        <v>0</v>
      </c>
      <c r="G8" s="137">
        <f t="shared" si="3"/>
        <v>0</v>
      </c>
      <c r="H8" s="137">
        <f t="shared" si="3"/>
        <v>0</v>
      </c>
      <c r="I8" s="137">
        <f t="shared" si="3"/>
        <v>0</v>
      </c>
      <c r="J8" s="137">
        <f t="shared" si="3"/>
        <v>0</v>
      </c>
      <c r="K8" s="137">
        <f t="shared" si="3"/>
        <v>0</v>
      </c>
      <c r="L8" s="137">
        <f t="shared" si="3"/>
        <v>0</v>
      </c>
      <c r="M8" s="137">
        <f t="shared" si="3"/>
        <v>0</v>
      </c>
      <c r="N8" s="129"/>
      <c r="O8" s="129"/>
      <c r="P8" s="129"/>
      <c r="Q8" s="129"/>
      <c r="R8" s="129"/>
      <c r="S8" s="129"/>
      <c r="T8" s="129"/>
      <c r="U8" s="129"/>
      <c r="V8" s="129"/>
      <c r="W8" s="129"/>
      <c r="X8" s="129"/>
      <c r="Y8" s="129"/>
      <c r="Z8" s="129"/>
      <c r="AA8" s="129"/>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9"/>
      <c r="BR8" s="79"/>
      <c r="BS8" s="83"/>
    </row>
    <row r="9" spans="1:71" s="84" customFormat="1" x14ac:dyDescent="0.25">
      <c r="A9" s="138">
        <v>4</v>
      </c>
      <c r="B9" s="135"/>
      <c r="C9" s="136">
        <v>0</v>
      </c>
      <c r="D9" s="136">
        <v>0</v>
      </c>
      <c r="E9" s="180" t="str">
        <f t="shared" si="0"/>
        <v/>
      </c>
      <c r="F9" s="137">
        <f t="shared" ref="F9:M9" si="4">IFERROR(IF(AND($B9&gt;0,$C9&gt;0,F5&gt;=$C$2+$D9,MOD(F5-$C$2-$D9,$C9)=0),$B9*(1+$B$76)^(F5-$C$2),0),0)</f>
        <v>0</v>
      </c>
      <c r="G9" s="137">
        <f t="shared" si="4"/>
        <v>0</v>
      </c>
      <c r="H9" s="137">
        <f t="shared" si="4"/>
        <v>0</v>
      </c>
      <c r="I9" s="137">
        <f t="shared" si="4"/>
        <v>0</v>
      </c>
      <c r="J9" s="137">
        <f t="shared" si="4"/>
        <v>0</v>
      </c>
      <c r="K9" s="137">
        <f t="shared" si="4"/>
        <v>0</v>
      </c>
      <c r="L9" s="137">
        <f t="shared" si="4"/>
        <v>0</v>
      </c>
      <c r="M9" s="137">
        <f t="shared" si="4"/>
        <v>0</v>
      </c>
      <c r="N9" s="129"/>
      <c r="O9" s="129"/>
      <c r="P9" s="129"/>
      <c r="Q9" s="129"/>
      <c r="R9" s="129"/>
      <c r="S9" s="129"/>
      <c r="T9" s="129"/>
      <c r="U9" s="129"/>
      <c r="V9" s="129"/>
      <c r="W9" s="129"/>
      <c r="X9" s="129"/>
      <c r="Y9" s="129"/>
      <c r="Z9" s="129"/>
      <c r="AA9" s="129"/>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9"/>
      <c r="BR9" s="79"/>
      <c r="BS9" s="83"/>
    </row>
    <row r="10" spans="1:71" s="84" customFormat="1" x14ac:dyDescent="0.25">
      <c r="A10" s="138">
        <v>5</v>
      </c>
      <c r="B10" s="135"/>
      <c r="C10" s="136">
        <v>0</v>
      </c>
      <c r="D10" s="136">
        <v>0</v>
      </c>
      <c r="E10" s="180" t="str">
        <f t="shared" si="0"/>
        <v/>
      </c>
      <c r="F10" s="137">
        <f t="shared" ref="F10:M10" si="5">IFERROR(IF(AND($B10&gt;0,$C10&gt;0,F5&gt;=$C$2+$D10,MOD(F5-$C$2-$D10,$C10)=0),$B10*(1+$B$76)^(F5-$C$2),0),0)</f>
        <v>0</v>
      </c>
      <c r="G10" s="137">
        <f t="shared" si="5"/>
        <v>0</v>
      </c>
      <c r="H10" s="137">
        <f t="shared" si="5"/>
        <v>0</v>
      </c>
      <c r="I10" s="137">
        <f t="shared" si="5"/>
        <v>0</v>
      </c>
      <c r="J10" s="137">
        <f t="shared" si="5"/>
        <v>0</v>
      </c>
      <c r="K10" s="137">
        <f t="shared" si="5"/>
        <v>0</v>
      </c>
      <c r="L10" s="137">
        <f t="shared" si="5"/>
        <v>0</v>
      </c>
      <c r="M10" s="137">
        <f t="shared" si="5"/>
        <v>0</v>
      </c>
      <c r="N10" s="129"/>
      <c r="O10" s="129"/>
      <c r="P10" s="129"/>
      <c r="Q10" s="129"/>
      <c r="R10" s="129"/>
      <c r="S10" s="129"/>
      <c r="T10" s="129"/>
      <c r="U10" s="129"/>
      <c r="V10" s="129"/>
      <c r="W10" s="129"/>
      <c r="X10" s="129"/>
      <c r="Y10" s="129"/>
      <c r="Z10" s="129"/>
      <c r="AA10" s="129"/>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9"/>
      <c r="BR10" s="79"/>
      <c r="BS10" s="83"/>
    </row>
    <row r="11" spans="1:71" s="84" customFormat="1" x14ac:dyDescent="0.25">
      <c r="A11" s="138">
        <v>6</v>
      </c>
      <c r="B11" s="135"/>
      <c r="C11" s="136">
        <v>0</v>
      </c>
      <c r="D11" s="136">
        <v>0</v>
      </c>
      <c r="E11" s="180" t="str">
        <f t="shared" si="0"/>
        <v/>
      </c>
      <c r="F11" s="137">
        <f t="shared" ref="F11:M11" si="6">IFERROR(IF(AND($B11&gt;0,$C11&gt;0,F5&gt;=$C$2+$D11,MOD(F5-$C$2-$D11,$C11)=0),$B11*(1+$B$76)^(F5-$C$2),0),0)</f>
        <v>0</v>
      </c>
      <c r="G11" s="137">
        <f t="shared" si="6"/>
        <v>0</v>
      </c>
      <c r="H11" s="137">
        <f t="shared" si="6"/>
        <v>0</v>
      </c>
      <c r="I11" s="137">
        <f t="shared" si="6"/>
        <v>0</v>
      </c>
      <c r="J11" s="137">
        <f t="shared" si="6"/>
        <v>0</v>
      </c>
      <c r="K11" s="137">
        <f t="shared" si="6"/>
        <v>0</v>
      </c>
      <c r="L11" s="137">
        <f t="shared" si="6"/>
        <v>0</v>
      </c>
      <c r="M11" s="137">
        <f t="shared" si="6"/>
        <v>0</v>
      </c>
      <c r="N11" s="129"/>
      <c r="O11" s="129"/>
      <c r="P11" s="129"/>
      <c r="Q11" s="129"/>
      <c r="R11" s="129"/>
      <c r="S11" s="129"/>
      <c r="T11" s="129"/>
      <c r="U11" s="129"/>
      <c r="V11" s="129"/>
      <c r="W11" s="129"/>
      <c r="X11" s="129"/>
      <c r="Y11" s="129"/>
      <c r="Z11" s="129"/>
      <c r="AA11" s="129"/>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9"/>
      <c r="BR11" s="79"/>
      <c r="BS11" s="83"/>
    </row>
    <row r="12" spans="1:71" s="84" customFormat="1" x14ac:dyDescent="0.25">
      <c r="A12" s="139"/>
      <c r="B12" s="137"/>
      <c r="C12" s="140"/>
      <c r="D12" s="140"/>
      <c r="E12" s="140"/>
      <c r="F12" s="137"/>
      <c r="G12" s="137"/>
      <c r="H12" s="137"/>
      <c r="I12" s="137"/>
      <c r="J12" s="137"/>
      <c r="K12" s="137"/>
      <c r="L12" s="137"/>
      <c r="M12" s="137"/>
      <c r="N12" s="129"/>
      <c r="O12" s="129"/>
      <c r="P12" s="129"/>
      <c r="Q12" s="129"/>
      <c r="R12" s="129"/>
      <c r="S12" s="129"/>
      <c r="T12" s="129"/>
      <c r="U12" s="129"/>
      <c r="V12" s="129"/>
      <c r="W12" s="129"/>
      <c r="X12" s="129"/>
      <c r="Y12" s="129"/>
      <c r="Z12" s="129"/>
      <c r="AA12" s="129"/>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9"/>
      <c r="BR12" s="79"/>
      <c r="BS12" s="83"/>
    </row>
    <row r="13" spans="1:71" ht="12" customHeight="1" x14ac:dyDescent="0.25">
      <c r="A13" s="129"/>
      <c r="B13" s="141"/>
      <c r="C13" s="85"/>
      <c r="D13" s="85"/>
      <c r="E13" s="85"/>
      <c r="F13" s="85"/>
      <c r="G13" s="85"/>
      <c r="H13" s="85"/>
      <c r="I13" s="85"/>
      <c r="J13" s="85"/>
      <c r="K13" s="85"/>
      <c r="L13" s="85"/>
      <c r="M13" s="85"/>
      <c r="N13" s="129"/>
      <c r="O13" s="129"/>
      <c r="P13" s="129"/>
      <c r="Q13" s="129"/>
      <c r="R13" s="129"/>
      <c r="S13" s="129"/>
      <c r="T13" s="129"/>
      <c r="U13" s="129"/>
      <c r="V13" s="129"/>
      <c r="W13" s="129"/>
      <c r="X13" s="129"/>
      <c r="Y13" s="129"/>
      <c r="Z13" s="129"/>
      <c r="AA13" s="129"/>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9"/>
      <c r="BR13" s="79"/>
    </row>
    <row r="14" spans="1:71" ht="14.4" customHeight="1" x14ac:dyDescent="0.25">
      <c r="A14" s="129" t="s">
        <v>14</v>
      </c>
      <c r="B14" s="83"/>
      <c r="C14" s="83"/>
      <c r="D14" s="83"/>
      <c r="E14" s="83"/>
      <c r="F14" s="136">
        <v>200000</v>
      </c>
      <c r="G14" s="140">
        <f t="shared" ref="G14:M14" si="7">F18</f>
        <v>210000</v>
      </c>
      <c r="H14" s="140">
        <f t="shared" si="7"/>
        <v>220000</v>
      </c>
      <c r="I14" s="140">
        <f t="shared" si="7"/>
        <v>230000</v>
      </c>
      <c r="J14" s="140">
        <f t="shared" si="7"/>
        <v>240000</v>
      </c>
      <c r="K14" s="140">
        <f t="shared" si="7"/>
        <v>250000</v>
      </c>
      <c r="L14" s="140">
        <f t="shared" si="7"/>
        <v>260000</v>
      </c>
      <c r="M14" s="140">
        <f t="shared" si="7"/>
        <v>270000</v>
      </c>
      <c r="N14" s="129"/>
      <c r="O14" s="129"/>
      <c r="P14" s="129"/>
      <c r="Q14" s="129"/>
      <c r="R14" s="129"/>
      <c r="S14" s="129"/>
      <c r="T14" s="129"/>
      <c r="U14" s="129"/>
      <c r="V14" s="129"/>
      <c r="W14" s="129"/>
      <c r="X14" s="129"/>
      <c r="Y14" s="129"/>
      <c r="Z14" s="129"/>
      <c r="AA14" s="129"/>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9"/>
      <c r="BR14" s="79"/>
    </row>
    <row r="15" spans="1:71" ht="14.4" customHeight="1" x14ac:dyDescent="0.3">
      <c r="A15" s="129" t="s">
        <v>15</v>
      </c>
      <c r="E15" s="92"/>
      <c r="F15" s="142">
        <f>'Budget COMPLETED example'!L76</f>
        <v>10000</v>
      </c>
      <c r="G15" s="142">
        <f t="shared" ref="G15:M15" si="8">F15</f>
        <v>10000</v>
      </c>
      <c r="H15" s="142">
        <f t="shared" si="8"/>
        <v>10000</v>
      </c>
      <c r="I15" s="142">
        <f t="shared" si="8"/>
        <v>10000</v>
      </c>
      <c r="J15" s="142">
        <f t="shared" si="8"/>
        <v>10000</v>
      </c>
      <c r="K15" s="142">
        <f t="shared" si="8"/>
        <v>10000</v>
      </c>
      <c r="L15" s="142">
        <f t="shared" si="8"/>
        <v>10000</v>
      </c>
      <c r="M15" s="142">
        <f t="shared" si="8"/>
        <v>10000</v>
      </c>
      <c r="N15" s="143"/>
      <c r="O15" s="129"/>
      <c r="P15" s="129"/>
      <c r="Q15" s="129"/>
      <c r="R15" s="129"/>
      <c r="S15" s="129"/>
      <c r="T15" s="129"/>
      <c r="U15" s="129"/>
      <c r="V15" s="129"/>
      <c r="W15" s="129"/>
      <c r="X15" s="129"/>
      <c r="Y15" s="129"/>
      <c r="Z15" s="129"/>
      <c r="AA15" s="129"/>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9"/>
      <c r="BR15" s="79"/>
    </row>
    <row r="16" spans="1:71" ht="14.4" customHeight="1" x14ac:dyDescent="0.3">
      <c r="A16" s="129" t="s">
        <v>16</v>
      </c>
      <c r="E16" s="144"/>
      <c r="F16" s="145">
        <f t="shared" ref="F16:L16" si="9">IF(MAX(0,F17-F14-F15)&gt;0,MAX(0,F17-F14-F15),IF(G16&gt;0,G16+G15,0))</f>
        <v>5132484.550104931</v>
      </c>
      <c r="G16" s="145">
        <f t="shared" si="9"/>
        <v>5122484.550104931</v>
      </c>
      <c r="H16" s="145">
        <f t="shared" si="9"/>
        <v>5112484.550104931</v>
      </c>
      <c r="I16" s="145">
        <f t="shared" si="9"/>
        <v>5102484.550104931</v>
      </c>
      <c r="J16" s="145">
        <f t="shared" si="9"/>
        <v>5092484.550104931</v>
      </c>
      <c r="K16" s="145">
        <f t="shared" si="9"/>
        <v>5082484.550104931</v>
      </c>
      <c r="L16" s="145">
        <f t="shared" si="9"/>
        <v>5072484.550104931</v>
      </c>
      <c r="M16" s="145">
        <f>IF(MAX(0,M17-M14-M15)&gt;0,MAX(0,M17-M14-M15),IF(F32&gt;0,F32+F31,0))</f>
        <v>5062484.550104931</v>
      </c>
      <c r="N16" s="146"/>
      <c r="O16" s="129"/>
      <c r="P16" s="129"/>
      <c r="Q16" s="129"/>
      <c r="R16" s="129"/>
      <c r="S16" s="129"/>
      <c r="T16" s="129"/>
      <c r="U16" s="129"/>
      <c r="V16" s="129"/>
      <c r="W16" s="129"/>
      <c r="X16" s="129"/>
      <c r="Y16" s="129"/>
      <c r="Z16" s="129"/>
      <c r="AA16" s="129"/>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9"/>
      <c r="BR16" s="79"/>
    </row>
    <row r="17" spans="1:70" ht="14.4" customHeight="1" x14ac:dyDescent="0.25">
      <c r="A17" s="129" t="s">
        <v>17</v>
      </c>
      <c r="F17" s="140">
        <f t="shared" ref="F17:M17" si="10">SUM(F6:F11)</f>
        <v>0</v>
      </c>
      <c r="G17" s="140">
        <f t="shared" si="10"/>
        <v>0</v>
      </c>
      <c r="H17" s="140">
        <f t="shared" si="10"/>
        <v>0</v>
      </c>
      <c r="I17" s="140">
        <f t="shared" si="10"/>
        <v>0</v>
      </c>
      <c r="J17" s="140">
        <f t="shared" si="10"/>
        <v>0</v>
      </c>
      <c r="K17" s="140">
        <f t="shared" si="10"/>
        <v>0</v>
      </c>
      <c r="L17" s="140">
        <f t="shared" si="10"/>
        <v>0</v>
      </c>
      <c r="M17" s="140">
        <f t="shared" si="10"/>
        <v>0</v>
      </c>
      <c r="N17" s="129"/>
      <c r="O17" s="129"/>
      <c r="P17" s="129"/>
      <c r="Q17" s="129"/>
      <c r="R17" s="129"/>
      <c r="S17" s="129"/>
      <c r="T17" s="129"/>
      <c r="U17" s="129"/>
      <c r="V17" s="129"/>
      <c r="W17" s="129"/>
      <c r="X17" s="129"/>
      <c r="Y17" s="129"/>
      <c r="Z17" s="129"/>
      <c r="AA17" s="129"/>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9"/>
      <c r="BR17" s="79"/>
    </row>
    <row r="18" spans="1:70" ht="14.4" customHeight="1" x14ac:dyDescent="0.25">
      <c r="A18" s="129" t="s">
        <v>18</v>
      </c>
      <c r="B18" s="83"/>
      <c r="C18" s="83"/>
      <c r="D18" s="83"/>
      <c r="E18" s="91"/>
      <c r="F18" s="142">
        <f t="shared" ref="F18:M18" si="11">F14+F15+MAX(0,F17-F14-F15)-F17</f>
        <v>210000</v>
      </c>
      <c r="G18" s="142">
        <f t="shared" si="11"/>
        <v>220000</v>
      </c>
      <c r="H18" s="142">
        <f t="shared" si="11"/>
        <v>230000</v>
      </c>
      <c r="I18" s="142">
        <f t="shared" si="11"/>
        <v>240000</v>
      </c>
      <c r="J18" s="142">
        <f t="shared" si="11"/>
        <v>250000</v>
      </c>
      <c r="K18" s="142">
        <f t="shared" si="11"/>
        <v>260000</v>
      </c>
      <c r="L18" s="142">
        <f t="shared" si="11"/>
        <v>270000</v>
      </c>
      <c r="M18" s="142">
        <f t="shared" si="11"/>
        <v>280000</v>
      </c>
      <c r="N18" s="129"/>
      <c r="O18" s="129"/>
      <c r="P18" s="129"/>
      <c r="Q18" s="129"/>
      <c r="R18" s="129"/>
      <c r="S18" s="129"/>
      <c r="T18" s="129"/>
      <c r="U18" s="129"/>
      <c r="V18" s="129"/>
      <c r="W18" s="129"/>
      <c r="X18" s="129"/>
      <c r="Y18" s="129"/>
      <c r="Z18" s="129"/>
      <c r="AA18" s="129"/>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9"/>
      <c r="BR18" s="79"/>
    </row>
    <row r="19" spans="1:70" ht="14.4" customHeight="1" x14ac:dyDescent="0.25">
      <c r="A19" s="129"/>
      <c r="B19" s="83"/>
      <c r="C19" s="83"/>
      <c r="D19" s="83"/>
      <c r="E19" s="83"/>
      <c r="F19" s="140"/>
      <c r="G19" s="140"/>
      <c r="H19" s="140"/>
      <c r="I19" s="140"/>
      <c r="J19" s="140"/>
      <c r="K19" s="140"/>
      <c r="L19" s="140"/>
      <c r="M19" s="140"/>
      <c r="N19" s="129"/>
      <c r="O19" s="129"/>
      <c r="P19" s="129"/>
      <c r="Q19" s="129"/>
      <c r="R19" s="129"/>
      <c r="S19" s="129"/>
      <c r="T19" s="129"/>
      <c r="U19" s="129"/>
      <c r="V19" s="129"/>
      <c r="W19" s="129"/>
      <c r="X19" s="129"/>
      <c r="Y19" s="129"/>
      <c r="Z19" s="129"/>
      <c r="AA19" s="129"/>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9"/>
      <c r="BR19" s="79"/>
    </row>
    <row r="20" spans="1:70" ht="14.4" customHeight="1" x14ac:dyDescent="0.3">
      <c r="A20" s="93"/>
      <c r="B20" s="93"/>
      <c r="C20" s="93"/>
      <c r="D20" s="93"/>
      <c r="E20" s="93"/>
      <c r="F20" s="93"/>
      <c r="G20" s="93"/>
      <c r="H20" s="93"/>
      <c r="I20" s="93"/>
      <c r="J20" s="93"/>
      <c r="K20" s="93"/>
      <c r="L20" s="93"/>
      <c r="M20" s="93"/>
      <c r="O20" s="129"/>
      <c r="P20" s="129"/>
      <c r="Q20" s="129"/>
      <c r="R20" s="129"/>
      <c r="S20" s="129"/>
      <c r="T20" s="129"/>
      <c r="U20" s="129"/>
      <c r="V20" s="129"/>
      <c r="W20" s="129"/>
      <c r="X20" s="129"/>
      <c r="Y20" s="129"/>
      <c r="Z20" s="129"/>
      <c r="AA20" s="129"/>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9"/>
      <c r="BR20" s="79"/>
    </row>
    <row r="21" spans="1:70" ht="33" customHeight="1" x14ac:dyDescent="0.25">
      <c r="A21" s="132" t="str">
        <f t="shared" ref="A21:D27" si="12">A5</f>
        <v>Category</v>
      </c>
      <c r="B21" s="130" t="str">
        <f t="shared" si="12"/>
        <v>Replacement Cost</v>
      </c>
      <c r="C21" s="82" t="str">
        <f t="shared" si="12"/>
        <v>Useful Life</v>
      </c>
      <c r="D21" s="130" t="str">
        <f t="shared" si="12"/>
        <v>Remaining Life</v>
      </c>
      <c r="E21" s="130" t="s">
        <v>11</v>
      </c>
      <c r="F21" s="133">
        <f>$C$2+8</f>
        <v>2035</v>
      </c>
      <c r="G21" s="133">
        <f>$C$2+9</f>
        <v>2036</v>
      </c>
      <c r="H21" s="133">
        <f>$C$2+10</f>
        <v>2037</v>
      </c>
      <c r="I21" s="133">
        <f>$C$2+11</f>
        <v>2038</v>
      </c>
      <c r="J21" s="133">
        <f>$C$2+12</f>
        <v>2039</v>
      </c>
      <c r="K21" s="133">
        <f>$C$2+13</f>
        <v>2040</v>
      </c>
      <c r="L21" s="133">
        <f>$C$2+14</f>
        <v>2041</v>
      </c>
      <c r="M21" s="133">
        <f>$C$2+15</f>
        <v>2042</v>
      </c>
      <c r="O21" s="129"/>
      <c r="P21" s="129"/>
      <c r="Q21" s="129"/>
      <c r="R21" s="129"/>
      <c r="S21" s="129"/>
      <c r="T21" s="129"/>
      <c r="U21" s="129"/>
      <c r="V21" s="129"/>
      <c r="W21" s="129"/>
      <c r="X21" s="129"/>
      <c r="Y21" s="129"/>
      <c r="Z21" s="129"/>
      <c r="AA21" s="129"/>
      <c r="AB21" s="129"/>
      <c r="AC21" s="129"/>
      <c r="AD21" s="133">
        <f>$C$2+32</f>
        <v>2059</v>
      </c>
      <c r="AE21" s="133">
        <f>$C$2+33</f>
        <v>2060</v>
      </c>
      <c r="AF21" s="133">
        <f>$C$2+34</f>
        <v>2061</v>
      </c>
      <c r="AG21" s="133">
        <f>$C$2+35</f>
        <v>2062</v>
      </c>
      <c r="AH21" s="86">
        <f>$C$2+36</f>
        <v>2063</v>
      </c>
      <c r="AI21" s="86">
        <f>$C$2+37</f>
        <v>2064</v>
      </c>
      <c r="AJ21" s="86">
        <f>$C$2+38</f>
        <v>2065</v>
      </c>
      <c r="AK21" s="86">
        <f>$C$2+39</f>
        <v>2066</v>
      </c>
      <c r="AL21" s="86">
        <f>$C$2+40</f>
        <v>2067</v>
      </c>
      <c r="AM21" s="86">
        <f>$C$2+41</f>
        <v>2068</v>
      </c>
      <c r="AN21" s="86">
        <f>$C$2+42</f>
        <v>2069</v>
      </c>
      <c r="AO21" s="86">
        <f>$C$2+43</f>
        <v>2070</v>
      </c>
      <c r="AP21" s="86">
        <f>$C$2+44</f>
        <v>2071</v>
      </c>
      <c r="AQ21" s="86">
        <f>$C$2+45</f>
        <v>2072</v>
      </c>
      <c r="AR21" s="86">
        <f>$C$2+46</f>
        <v>2073</v>
      </c>
      <c r="AS21" s="86">
        <f>$C$2+47</f>
        <v>2074</v>
      </c>
      <c r="AT21" s="86">
        <f>$C$2+48</f>
        <v>2075</v>
      </c>
      <c r="AU21" s="86">
        <f>$C$2+49</f>
        <v>2076</v>
      </c>
      <c r="AV21" s="86">
        <f>$C$2+50</f>
        <v>2077</v>
      </c>
      <c r="AW21" s="86">
        <f>$C$2+51</f>
        <v>2078</v>
      </c>
      <c r="AX21" s="86">
        <f>$C$2+52</f>
        <v>2079</v>
      </c>
      <c r="AY21" s="86">
        <f>$C$2+53</f>
        <v>2080</v>
      </c>
      <c r="AZ21" s="86">
        <f>$C$2+54</f>
        <v>2081</v>
      </c>
      <c r="BA21" s="86">
        <f>$C$2+55</f>
        <v>2082</v>
      </c>
      <c r="BB21" s="86">
        <f>$C$2+56</f>
        <v>2083</v>
      </c>
      <c r="BC21" s="86">
        <f>$C$2+57</f>
        <v>2084</v>
      </c>
      <c r="BD21" s="86">
        <f>$C$2+58</f>
        <v>2085</v>
      </c>
      <c r="BE21" s="86">
        <f>$C$2+59</f>
        <v>2086</v>
      </c>
      <c r="BF21" s="86">
        <f>$C$2+60</f>
        <v>2087</v>
      </c>
      <c r="BG21" s="86">
        <f>$C$2+61</f>
        <v>2088</v>
      </c>
      <c r="BH21" s="86">
        <f>$C$2+62</f>
        <v>2089</v>
      </c>
      <c r="BI21" s="86">
        <f>$C$2+63</f>
        <v>2090</v>
      </c>
      <c r="BJ21" s="86">
        <f>$C$2+64</f>
        <v>2091</v>
      </c>
    </row>
    <row r="22" spans="1:70" ht="14.4" customHeight="1" x14ac:dyDescent="0.25">
      <c r="A22" s="147" t="str">
        <f t="shared" si="12"/>
        <v>Roof- Replacement</v>
      </c>
      <c r="B22" s="137">
        <f t="shared" si="12"/>
        <v>3000000</v>
      </c>
      <c r="C22" s="140">
        <f t="shared" si="12"/>
        <v>20</v>
      </c>
      <c r="D22" s="140">
        <f t="shared" si="12"/>
        <v>18</v>
      </c>
      <c r="E22" s="140">
        <f t="shared" ref="E22:E27" si="13">E6</f>
        <v>2045</v>
      </c>
      <c r="F22" s="137">
        <f t="shared" ref="F22:M22" si="14">IFERROR(IF(AND($B6&gt;0,$C6&gt;0,F21&gt;=$C$2+$D6,MOD(F21-$C$2-$D6,$C6)=0),$B6*(1+$B$76)^(F21-$C$2),0),0)</f>
        <v>0</v>
      </c>
      <c r="G22" s="137">
        <f t="shared" si="14"/>
        <v>0</v>
      </c>
      <c r="H22" s="137">
        <f t="shared" si="14"/>
        <v>0</v>
      </c>
      <c r="I22" s="137">
        <f t="shared" si="14"/>
        <v>0</v>
      </c>
      <c r="J22" s="137">
        <f t="shared" si="14"/>
        <v>0</v>
      </c>
      <c r="K22" s="137">
        <f t="shared" si="14"/>
        <v>0</v>
      </c>
      <c r="L22" s="137">
        <f t="shared" si="14"/>
        <v>0</v>
      </c>
      <c r="M22" s="137">
        <f t="shared" si="14"/>
        <v>0</v>
      </c>
      <c r="O22" s="129"/>
      <c r="P22" s="129"/>
      <c r="Q22" s="129"/>
      <c r="R22" s="129"/>
      <c r="S22" s="129"/>
      <c r="T22" s="129"/>
      <c r="U22" s="129"/>
      <c r="V22" s="129"/>
      <c r="W22" s="129"/>
      <c r="X22" s="129"/>
      <c r="Y22" s="129"/>
      <c r="Z22" s="129"/>
      <c r="AA22" s="129"/>
      <c r="AB22" s="129"/>
      <c r="AC22" s="129"/>
      <c r="AD22" s="148">
        <f t="shared" ref="AD22:BJ22" si="15">IFERROR(IF(AND($B6&gt;0,$C6&gt;0,AD21&gt;=$C$2+$D6,MOD(AD21-$C$2-$D6,$C6)=0),$B6*(1+$B$76)^(AD21-$C$2),0),0)</f>
        <v>0</v>
      </c>
      <c r="AE22" s="148">
        <f t="shared" si="15"/>
        <v>0</v>
      </c>
      <c r="AF22" s="148">
        <f t="shared" si="15"/>
        <v>0</v>
      </c>
      <c r="AG22" s="148">
        <f t="shared" si="15"/>
        <v>0</v>
      </c>
      <c r="AH22" s="148">
        <f t="shared" si="15"/>
        <v>0</v>
      </c>
      <c r="AI22" s="149">
        <f t="shared" si="15"/>
        <v>0</v>
      </c>
      <c r="AJ22" s="148">
        <f t="shared" si="15"/>
        <v>9224350.4345340896</v>
      </c>
      <c r="AK22" s="148">
        <f t="shared" si="15"/>
        <v>0</v>
      </c>
      <c r="AL22" s="148">
        <f t="shared" si="15"/>
        <v>0</v>
      </c>
      <c r="AM22" s="148">
        <f t="shared" si="15"/>
        <v>0</v>
      </c>
      <c r="AN22" s="148">
        <f t="shared" si="15"/>
        <v>0</v>
      </c>
      <c r="AO22" s="148">
        <f t="shared" si="15"/>
        <v>0</v>
      </c>
      <c r="AP22" s="148">
        <f t="shared" si="15"/>
        <v>0</v>
      </c>
      <c r="AQ22" s="148">
        <f t="shared" si="15"/>
        <v>0</v>
      </c>
      <c r="AR22" s="148">
        <f t="shared" si="15"/>
        <v>0</v>
      </c>
      <c r="AS22" s="148">
        <f t="shared" si="15"/>
        <v>0</v>
      </c>
      <c r="AT22" s="148">
        <f t="shared" si="15"/>
        <v>0</v>
      </c>
      <c r="AU22" s="148">
        <f t="shared" si="15"/>
        <v>0</v>
      </c>
      <c r="AV22" s="148">
        <f t="shared" si="15"/>
        <v>0</v>
      </c>
      <c r="AW22" s="148">
        <f t="shared" si="15"/>
        <v>0</v>
      </c>
      <c r="AX22" s="148">
        <f t="shared" si="15"/>
        <v>0</v>
      </c>
      <c r="AY22" s="148">
        <f t="shared" si="15"/>
        <v>0</v>
      </c>
      <c r="AZ22" s="148">
        <f t="shared" si="15"/>
        <v>0</v>
      </c>
      <c r="BA22" s="148">
        <f t="shared" si="15"/>
        <v>0</v>
      </c>
      <c r="BB22" s="148">
        <f t="shared" si="15"/>
        <v>0</v>
      </c>
      <c r="BC22" s="149">
        <f t="shared" si="15"/>
        <v>0</v>
      </c>
      <c r="BD22" s="148">
        <f t="shared" si="15"/>
        <v>16660202.952339705</v>
      </c>
      <c r="BE22" s="148">
        <f t="shared" si="15"/>
        <v>0</v>
      </c>
      <c r="BF22" s="148">
        <f t="shared" si="15"/>
        <v>0</v>
      </c>
      <c r="BG22" s="148">
        <f t="shared" si="15"/>
        <v>0</v>
      </c>
      <c r="BH22" s="148">
        <f t="shared" si="15"/>
        <v>0</v>
      </c>
      <c r="BI22" s="148">
        <f t="shared" si="15"/>
        <v>0</v>
      </c>
      <c r="BJ22" s="148">
        <f t="shared" si="15"/>
        <v>0</v>
      </c>
      <c r="BK22" s="150"/>
    </row>
    <row r="23" spans="1:70" ht="14.4" customHeight="1" x14ac:dyDescent="0.25">
      <c r="A23" s="147" t="str">
        <f t="shared" si="12"/>
        <v>Buildings - Repaint</v>
      </c>
      <c r="B23" s="137">
        <f t="shared" si="12"/>
        <v>175000</v>
      </c>
      <c r="C23" s="140">
        <f t="shared" si="12"/>
        <v>12</v>
      </c>
      <c r="D23" s="140">
        <f t="shared" si="12"/>
        <v>10</v>
      </c>
      <c r="E23" s="140">
        <f t="shared" si="13"/>
        <v>2037</v>
      </c>
      <c r="F23" s="137">
        <f t="shared" ref="F23:M23" si="16">IFERROR(IF(AND($B7&gt;0,$C7&gt;0,F21&gt;=$C$2+$D7,MOD(F21-$C$2-$D7,$C7)=0),$B7*(1+$B$76)^(F21-$C$2),0),0)</f>
        <v>0</v>
      </c>
      <c r="G23" s="137">
        <f t="shared" si="16"/>
        <v>0</v>
      </c>
      <c r="H23" s="137">
        <f t="shared" si="16"/>
        <v>235185.36638522131</v>
      </c>
      <c r="I23" s="137">
        <f t="shared" si="16"/>
        <v>0</v>
      </c>
      <c r="J23" s="137">
        <f t="shared" si="16"/>
        <v>0</v>
      </c>
      <c r="K23" s="137">
        <f t="shared" si="16"/>
        <v>0</v>
      </c>
      <c r="L23" s="137">
        <f t="shared" si="16"/>
        <v>0</v>
      </c>
      <c r="M23" s="137">
        <f t="shared" si="16"/>
        <v>0</v>
      </c>
      <c r="O23" s="129"/>
      <c r="P23" s="129"/>
      <c r="Q23" s="129"/>
      <c r="R23" s="129"/>
      <c r="S23" s="129"/>
      <c r="T23" s="129"/>
      <c r="U23" s="129"/>
      <c r="V23" s="129"/>
      <c r="W23" s="129"/>
      <c r="X23" s="129"/>
      <c r="Y23" s="129"/>
      <c r="Z23" s="129"/>
      <c r="AA23" s="129"/>
      <c r="AB23" s="129"/>
      <c r="AC23" s="129"/>
      <c r="AD23" s="148">
        <f t="shared" ref="AD23:BJ23" si="17">IFERROR(IF(AND($B7&gt;0,$C7&gt;0,AD21&gt;=$C$2+$D7,MOD(AD21-$C$2-$D7,$C7)=0),$B7*(1+$B$76)^(AD21-$C$2),0),0)</f>
        <v>0</v>
      </c>
      <c r="AE23" s="148">
        <f t="shared" si="17"/>
        <v>0</v>
      </c>
      <c r="AF23" s="149">
        <f t="shared" si="17"/>
        <v>478083.42671360809</v>
      </c>
      <c r="AG23" s="148">
        <f t="shared" si="17"/>
        <v>0</v>
      </c>
      <c r="AH23" s="148">
        <f t="shared" si="17"/>
        <v>0</v>
      </c>
      <c r="AI23" s="148">
        <f t="shared" si="17"/>
        <v>0</v>
      </c>
      <c r="AJ23" s="148">
        <f t="shared" si="17"/>
        <v>0</v>
      </c>
      <c r="AK23" s="148">
        <f t="shared" si="17"/>
        <v>0</v>
      </c>
      <c r="AL23" s="148">
        <f t="shared" si="17"/>
        <v>0</v>
      </c>
      <c r="AM23" s="149">
        <f t="shared" si="17"/>
        <v>0</v>
      </c>
      <c r="AN23" s="148">
        <f t="shared" si="17"/>
        <v>0</v>
      </c>
      <c r="AO23" s="148">
        <f t="shared" si="17"/>
        <v>0</v>
      </c>
      <c r="AP23" s="148">
        <f t="shared" si="17"/>
        <v>0</v>
      </c>
      <c r="AQ23" s="148">
        <f t="shared" si="17"/>
        <v>0</v>
      </c>
      <c r="AR23" s="148">
        <f t="shared" si="17"/>
        <v>681632.65045765403</v>
      </c>
      <c r="AS23" s="148">
        <f t="shared" si="17"/>
        <v>0</v>
      </c>
      <c r="AT23" s="148">
        <f t="shared" si="17"/>
        <v>0</v>
      </c>
      <c r="AU23" s="148">
        <f t="shared" si="17"/>
        <v>0</v>
      </c>
      <c r="AV23" s="148">
        <f t="shared" si="17"/>
        <v>0</v>
      </c>
      <c r="AW23" s="148">
        <f t="shared" si="17"/>
        <v>0</v>
      </c>
      <c r="AX23" s="148">
        <f t="shared" si="17"/>
        <v>0</v>
      </c>
      <c r="AY23" s="149">
        <f t="shared" si="17"/>
        <v>0</v>
      </c>
      <c r="AZ23" s="148">
        <f t="shared" si="17"/>
        <v>0</v>
      </c>
      <c r="BA23" s="148">
        <f t="shared" si="17"/>
        <v>0</v>
      </c>
      <c r="BB23" s="148">
        <f t="shared" si="17"/>
        <v>0</v>
      </c>
      <c r="BC23" s="148">
        <f t="shared" si="17"/>
        <v>0</v>
      </c>
      <c r="BD23" s="148">
        <f t="shared" si="17"/>
        <v>971845.17221981613</v>
      </c>
      <c r="BE23" s="148">
        <f t="shared" si="17"/>
        <v>0</v>
      </c>
      <c r="BF23" s="148">
        <f t="shared" si="17"/>
        <v>0</v>
      </c>
      <c r="BG23" s="148">
        <f t="shared" si="17"/>
        <v>0</v>
      </c>
      <c r="BH23" s="148">
        <f t="shared" si="17"/>
        <v>0</v>
      </c>
      <c r="BI23" s="148">
        <f t="shared" si="17"/>
        <v>0</v>
      </c>
      <c r="BJ23" s="148">
        <f t="shared" si="17"/>
        <v>0</v>
      </c>
      <c r="BK23" s="150"/>
    </row>
    <row r="24" spans="1:70" ht="14.4" customHeight="1" x14ac:dyDescent="0.25">
      <c r="A24" s="139">
        <f t="shared" si="12"/>
        <v>3</v>
      </c>
      <c r="B24" s="137">
        <f t="shared" si="12"/>
        <v>0</v>
      </c>
      <c r="C24" s="140">
        <f t="shared" si="12"/>
        <v>0</v>
      </c>
      <c r="D24" s="140">
        <f t="shared" si="12"/>
        <v>0</v>
      </c>
      <c r="E24" s="140" t="str">
        <f t="shared" si="13"/>
        <v/>
      </c>
      <c r="F24" s="137">
        <f t="shared" ref="F24:M24" si="18">IFERROR(IF(AND($B8&gt;0,$C8&gt;0,F21&gt;=$C$2+$D8,MOD(F21-$C$2-$D8,$C8)=0),$B8*(1+$B$76)^(F21-$C$2),0),0)</f>
        <v>0</v>
      </c>
      <c r="G24" s="137">
        <f t="shared" si="18"/>
        <v>0</v>
      </c>
      <c r="H24" s="137">
        <f t="shared" si="18"/>
        <v>0</v>
      </c>
      <c r="I24" s="137">
        <f t="shared" si="18"/>
        <v>0</v>
      </c>
      <c r="J24" s="137">
        <f t="shared" si="18"/>
        <v>0</v>
      </c>
      <c r="K24" s="137">
        <f t="shared" si="18"/>
        <v>0</v>
      </c>
      <c r="L24" s="137">
        <f t="shared" si="18"/>
        <v>0</v>
      </c>
      <c r="M24" s="137">
        <f t="shared" si="18"/>
        <v>0</v>
      </c>
      <c r="O24" s="129"/>
      <c r="P24" s="129"/>
      <c r="Q24" s="129"/>
      <c r="R24" s="129"/>
      <c r="S24" s="129"/>
      <c r="T24" s="129"/>
      <c r="U24" s="129"/>
      <c r="V24" s="129"/>
      <c r="W24" s="129"/>
      <c r="X24" s="129"/>
      <c r="Y24" s="129"/>
      <c r="Z24" s="129"/>
      <c r="AA24" s="129"/>
      <c r="AB24" s="129"/>
      <c r="AC24" s="129"/>
      <c r="AD24" s="148">
        <f t="shared" ref="AD24:BJ24" si="19">IFERROR(IF(AND($B8&gt;0,$C8&gt;0,AD21&gt;=$C$2+$D8,MOD(AD21-$C$2-$D8,$C8)=0),$B8*(1+$B$76)^(AD21-$C$2),0),0)</f>
        <v>0</v>
      </c>
      <c r="AE24" s="148">
        <f t="shared" si="19"/>
        <v>0</v>
      </c>
      <c r="AF24" s="149">
        <f t="shared" si="19"/>
        <v>0</v>
      </c>
      <c r="AG24" s="148">
        <f t="shared" si="19"/>
        <v>0</v>
      </c>
      <c r="AH24" s="148">
        <f t="shared" si="19"/>
        <v>0</v>
      </c>
      <c r="AI24" s="148">
        <f t="shared" si="19"/>
        <v>0</v>
      </c>
      <c r="AJ24" s="148">
        <f t="shared" si="19"/>
        <v>0</v>
      </c>
      <c r="AK24" s="148">
        <f t="shared" si="19"/>
        <v>0</v>
      </c>
      <c r="AL24" s="148">
        <f t="shared" si="19"/>
        <v>0</v>
      </c>
      <c r="AM24" s="149">
        <f t="shared" si="19"/>
        <v>0</v>
      </c>
      <c r="AN24" s="148">
        <f t="shared" si="19"/>
        <v>0</v>
      </c>
      <c r="AO24" s="148">
        <f t="shared" si="19"/>
        <v>0</v>
      </c>
      <c r="AP24" s="148">
        <f t="shared" si="19"/>
        <v>0</v>
      </c>
      <c r="AQ24" s="148">
        <f t="shared" si="19"/>
        <v>0</v>
      </c>
      <c r="AR24" s="148">
        <f t="shared" si="19"/>
        <v>0</v>
      </c>
      <c r="AS24" s="148">
        <f t="shared" si="19"/>
        <v>0</v>
      </c>
      <c r="AT24" s="148">
        <f t="shared" si="19"/>
        <v>0</v>
      </c>
      <c r="AU24" s="148">
        <f t="shared" si="19"/>
        <v>0</v>
      </c>
      <c r="AV24" s="148">
        <f t="shared" si="19"/>
        <v>0</v>
      </c>
      <c r="AW24" s="148">
        <f t="shared" si="19"/>
        <v>0</v>
      </c>
      <c r="AX24" s="148">
        <f t="shared" si="19"/>
        <v>0</v>
      </c>
      <c r="AY24" s="149">
        <f t="shared" si="19"/>
        <v>0</v>
      </c>
      <c r="AZ24" s="148">
        <f t="shared" si="19"/>
        <v>0</v>
      </c>
      <c r="BA24" s="148">
        <f t="shared" si="19"/>
        <v>0</v>
      </c>
      <c r="BB24" s="148">
        <f t="shared" si="19"/>
        <v>0</v>
      </c>
      <c r="BC24" s="148">
        <f t="shared" si="19"/>
        <v>0</v>
      </c>
      <c r="BD24" s="148">
        <f t="shared" si="19"/>
        <v>0</v>
      </c>
      <c r="BE24" s="148">
        <f t="shared" si="19"/>
        <v>0</v>
      </c>
      <c r="BF24" s="148">
        <f t="shared" si="19"/>
        <v>0</v>
      </c>
      <c r="BG24" s="148">
        <f t="shared" si="19"/>
        <v>0</v>
      </c>
      <c r="BH24" s="148">
        <f t="shared" si="19"/>
        <v>0</v>
      </c>
      <c r="BI24" s="148">
        <f t="shared" si="19"/>
        <v>0</v>
      </c>
      <c r="BJ24" s="148">
        <f t="shared" si="19"/>
        <v>0</v>
      </c>
      <c r="BK24" s="150"/>
    </row>
    <row r="25" spans="1:70" ht="14.4" customHeight="1" x14ac:dyDescent="0.25">
      <c r="A25" s="139">
        <f t="shared" si="12"/>
        <v>4</v>
      </c>
      <c r="B25" s="137">
        <f t="shared" si="12"/>
        <v>0</v>
      </c>
      <c r="C25" s="140">
        <f t="shared" si="12"/>
        <v>0</v>
      </c>
      <c r="D25" s="140">
        <f t="shared" si="12"/>
        <v>0</v>
      </c>
      <c r="E25" s="140" t="str">
        <f t="shared" si="13"/>
        <v/>
      </c>
      <c r="F25" s="137">
        <f t="shared" ref="F25:M25" si="20">IFERROR(IF(AND($B9&gt;0,$C9&gt;0,F21&gt;=$C$2+$D9,MOD(F21-$C$2-$D9,$C9)=0),$B9*(1+$B$76)^(F21-$C$2),0),0)</f>
        <v>0</v>
      </c>
      <c r="G25" s="137">
        <f t="shared" si="20"/>
        <v>0</v>
      </c>
      <c r="H25" s="137">
        <f t="shared" si="20"/>
        <v>0</v>
      </c>
      <c r="I25" s="137">
        <f t="shared" si="20"/>
        <v>0</v>
      </c>
      <c r="J25" s="137">
        <f t="shared" si="20"/>
        <v>0</v>
      </c>
      <c r="K25" s="137">
        <f t="shared" si="20"/>
        <v>0</v>
      </c>
      <c r="L25" s="137">
        <f t="shared" si="20"/>
        <v>0</v>
      </c>
      <c r="M25" s="137">
        <f t="shared" si="20"/>
        <v>0</v>
      </c>
      <c r="O25" s="129"/>
      <c r="P25" s="129"/>
      <c r="Q25" s="129"/>
      <c r="R25" s="129"/>
      <c r="S25" s="129"/>
      <c r="T25" s="129"/>
      <c r="U25" s="129"/>
      <c r="V25" s="129"/>
      <c r="W25" s="129"/>
      <c r="X25" s="129"/>
      <c r="Y25" s="129"/>
      <c r="Z25" s="129"/>
      <c r="AA25" s="129"/>
      <c r="AB25" s="129"/>
      <c r="AC25" s="129"/>
      <c r="AD25" s="148">
        <f t="shared" ref="AD25:BJ25" si="21">IFERROR(IF(AND($B9&gt;0,$C9&gt;0,AD21&gt;=$C$2+$D9,MOD(AD21-$C$2-$D9,$C9)=0),$B9*(1+$B$76)^(AD21-$C$2),0),0)</f>
        <v>0</v>
      </c>
      <c r="AE25" s="148">
        <f t="shared" si="21"/>
        <v>0</v>
      </c>
      <c r="AF25" s="149">
        <f t="shared" si="21"/>
        <v>0</v>
      </c>
      <c r="AG25" s="148">
        <f t="shared" si="21"/>
        <v>0</v>
      </c>
      <c r="AH25" s="148">
        <f t="shared" si="21"/>
        <v>0</v>
      </c>
      <c r="AI25" s="148">
        <f t="shared" si="21"/>
        <v>0</v>
      </c>
      <c r="AJ25" s="148">
        <f t="shared" si="21"/>
        <v>0</v>
      </c>
      <c r="AK25" s="148">
        <f t="shared" si="21"/>
        <v>0</v>
      </c>
      <c r="AL25" s="148">
        <f t="shared" si="21"/>
        <v>0</v>
      </c>
      <c r="AM25" s="149">
        <f t="shared" si="21"/>
        <v>0</v>
      </c>
      <c r="AN25" s="148">
        <f t="shared" si="21"/>
        <v>0</v>
      </c>
      <c r="AO25" s="148">
        <f t="shared" si="21"/>
        <v>0</v>
      </c>
      <c r="AP25" s="148">
        <f t="shared" si="21"/>
        <v>0</v>
      </c>
      <c r="AQ25" s="148">
        <f t="shared" si="21"/>
        <v>0</v>
      </c>
      <c r="AR25" s="148">
        <f t="shared" si="21"/>
        <v>0</v>
      </c>
      <c r="AS25" s="148">
        <f t="shared" si="21"/>
        <v>0</v>
      </c>
      <c r="AT25" s="148">
        <f t="shared" si="21"/>
        <v>0</v>
      </c>
      <c r="AU25" s="148">
        <f t="shared" si="21"/>
        <v>0</v>
      </c>
      <c r="AV25" s="148">
        <f t="shared" si="21"/>
        <v>0</v>
      </c>
      <c r="AW25" s="148">
        <f t="shared" si="21"/>
        <v>0</v>
      </c>
      <c r="AX25" s="148">
        <f t="shared" si="21"/>
        <v>0</v>
      </c>
      <c r="AY25" s="149">
        <f t="shared" si="21"/>
        <v>0</v>
      </c>
      <c r="AZ25" s="148">
        <f t="shared" si="21"/>
        <v>0</v>
      </c>
      <c r="BA25" s="148">
        <f t="shared" si="21"/>
        <v>0</v>
      </c>
      <c r="BB25" s="148">
        <f t="shared" si="21"/>
        <v>0</v>
      </c>
      <c r="BC25" s="148">
        <f t="shared" si="21"/>
        <v>0</v>
      </c>
      <c r="BD25" s="148">
        <f t="shared" si="21"/>
        <v>0</v>
      </c>
      <c r="BE25" s="148">
        <f t="shared" si="21"/>
        <v>0</v>
      </c>
      <c r="BF25" s="148">
        <f t="shared" si="21"/>
        <v>0</v>
      </c>
      <c r="BG25" s="148">
        <f t="shared" si="21"/>
        <v>0</v>
      </c>
      <c r="BH25" s="148">
        <f t="shared" si="21"/>
        <v>0</v>
      </c>
      <c r="BI25" s="148">
        <f t="shared" si="21"/>
        <v>0</v>
      </c>
      <c r="BJ25" s="148">
        <f t="shared" si="21"/>
        <v>0</v>
      </c>
      <c r="BK25" s="150"/>
    </row>
    <row r="26" spans="1:70" ht="14.4" customHeight="1" x14ac:dyDescent="0.25">
      <c r="A26" s="139">
        <f t="shared" si="12"/>
        <v>5</v>
      </c>
      <c r="B26" s="137">
        <f t="shared" si="12"/>
        <v>0</v>
      </c>
      <c r="C26" s="140">
        <f t="shared" si="12"/>
        <v>0</v>
      </c>
      <c r="D26" s="140">
        <f t="shared" si="12"/>
        <v>0</v>
      </c>
      <c r="E26" s="140" t="str">
        <f t="shared" si="13"/>
        <v/>
      </c>
      <c r="F26" s="137">
        <f t="shared" ref="F26:M26" si="22">IFERROR(IF(AND($B10&gt;0,$C10&gt;0,F21&gt;=$C$2+$D10,MOD(F21-$C$2-$D10,$C10)=0),$B10*(1+$B$76)^(F21-$C$2),0),0)</f>
        <v>0</v>
      </c>
      <c r="G26" s="137">
        <f t="shared" si="22"/>
        <v>0</v>
      </c>
      <c r="H26" s="137">
        <f t="shared" si="22"/>
        <v>0</v>
      </c>
      <c r="I26" s="137">
        <f t="shared" si="22"/>
        <v>0</v>
      </c>
      <c r="J26" s="137">
        <f t="shared" si="22"/>
        <v>0</v>
      </c>
      <c r="K26" s="137">
        <f t="shared" si="22"/>
        <v>0</v>
      </c>
      <c r="L26" s="137">
        <f t="shared" si="22"/>
        <v>0</v>
      </c>
      <c r="M26" s="137">
        <f t="shared" si="22"/>
        <v>0</v>
      </c>
      <c r="O26" s="129"/>
      <c r="P26" s="129"/>
      <c r="Q26" s="129"/>
      <c r="R26" s="129"/>
      <c r="S26" s="129"/>
      <c r="T26" s="129"/>
      <c r="U26" s="129"/>
      <c r="V26" s="129"/>
      <c r="W26" s="129"/>
      <c r="X26" s="129"/>
      <c r="Y26" s="129"/>
      <c r="Z26" s="129"/>
      <c r="AA26" s="129"/>
      <c r="AB26" s="129"/>
      <c r="AC26" s="129"/>
      <c r="AD26" s="148">
        <f t="shared" ref="AD26:BJ26" si="23">IFERROR(IF(AND($B10&gt;0,$C10&gt;0,AD21&gt;=$C$2+$D10,MOD(AD21-$C$2-$D10,$C10)=0),$B10*(1+$B$76)^(AD21-$C$2),0),0)</f>
        <v>0</v>
      </c>
      <c r="AE26" s="148">
        <f t="shared" si="23"/>
        <v>0</v>
      </c>
      <c r="AF26" s="149">
        <f t="shared" si="23"/>
        <v>0</v>
      </c>
      <c r="AG26" s="148">
        <f t="shared" si="23"/>
        <v>0</v>
      </c>
      <c r="AH26" s="148">
        <f t="shared" si="23"/>
        <v>0</v>
      </c>
      <c r="AI26" s="148">
        <f t="shared" si="23"/>
        <v>0</v>
      </c>
      <c r="AJ26" s="148">
        <f t="shared" si="23"/>
        <v>0</v>
      </c>
      <c r="AK26" s="148">
        <f t="shared" si="23"/>
        <v>0</v>
      </c>
      <c r="AL26" s="148">
        <f t="shared" si="23"/>
        <v>0</v>
      </c>
      <c r="AM26" s="149">
        <f t="shared" si="23"/>
        <v>0</v>
      </c>
      <c r="AN26" s="148">
        <f t="shared" si="23"/>
        <v>0</v>
      </c>
      <c r="AO26" s="148">
        <f t="shared" si="23"/>
        <v>0</v>
      </c>
      <c r="AP26" s="148">
        <f t="shared" si="23"/>
        <v>0</v>
      </c>
      <c r="AQ26" s="148">
        <f t="shared" si="23"/>
        <v>0</v>
      </c>
      <c r="AR26" s="148">
        <f t="shared" si="23"/>
        <v>0</v>
      </c>
      <c r="AS26" s="148">
        <f t="shared" si="23"/>
        <v>0</v>
      </c>
      <c r="AT26" s="148">
        <f t="shared" si="23"/>
        <v>0</v>
      </c>
      <c r="AU26" s="148">
        <f t="shared" si="23"/>
        <v>0</v>
      </c>
      <c r="AV26" s="148">
        <f t="shared" si="23"/>
        <v>0</v>
      </c>
      <c r="AW26" s="148">
        <f t="shared" si="23"/>
        <v>0</v>
      </c>
      <c r="AX26" s="148">
        <f t="shared" si="23"/>
        <v>0</v>
      </c>
      <c r="AY26" s="149">
        <f t="shared" si="23"/>
        <v>0</v>
      </c>
      <c r="AZ26" s="148">
        <f t="shared" si="23"/>
        <v>0</v>
      </c>
      <c r="BA26" s="148">
        <f t="shared" si="23"/>
        <v>0</v>
      </c>
      <c r="BB26" s="148">
        <f t="shared" si="23"/>
        <v>0</v>
      </c>
      <c r="BC26" s="148">
        <f t="shared" si="23"/>
        <v>0</v>
      </c>
      <c r="BD26" s="148">
        <f t="shared" si="23"/>
        <v>0</v>
      </c>
      <c r="BE26" s="148">
        <f t="shared" si="23"/>
        <v>0</v>
      </c>
      <c r="BF26" s="148">
        <f t="shared" si="23"/>
        <v>0</v>
      </c>
      <c r="BG26" s="148">
        <f t="shared" si="23"/>
        <v>0</v>
      </c>
      <c r="BH26" s="148">
        <f t="shared" si="23"/>
        <v>0</v>
      </c>
      <c r="BI26" s="148">
        <f t="shared" si="23"/>
        <v>0</v>
      </c>
      <c r="BJ26" s="148">
        <f t="shared" si="23"/>
        <v>0</v>
      </c>
      <c r="BK26" s="150"/>
    </row>
    <row r="27" spans="1:70" ht="14.4" customHeight="1" x14ac:dyDescent="0.25">
      <c r="A27" s="139">
        <f t="shared" si="12"/>
        <v>6</v>
      </c>
      <c r="B27" s="137">
        <f t="shared" si="12"/>
        <v>0</v>
      </c>
      <c r="C27" s="140">
        <f t="shared" si="12"/>
        <v>0</v>
      </c>
      <c r="D27" s="140">
        <f t="shared" si="12"/>
        <v>0</v>
      </c>
      <c r="E27" s="140" t="str">
        <f t="shared" si="13"/>
        <v/>
      </c>
      <c r="F27" s="137">
        <f t="shared" ref="F27:M27" si="24">IFERROR(IF(AND($B11&gt;0,$C11&gt;0,F21&gt;=$C$2+$D11,MOD(F21-$C$2-$D11,$C11)=0),$B11*(1+$B$76)^(F21-$C$2),0),0)</f>
        <v>0</v>
      </c>
      <c r="G27" s="137">
        <f t="shared" si="24"/>
        <v>0</v>
      </c>
      <c r="H27" s="137">
        <f t="shared" si="24"/>
        <v>0</v>
      </c>
      <c r="I27" s="137">
        <f t="shared" si="24"/>
        <v>0</v>
      </c>
      <c r="J27" s="137">
        <f t="shared" si="24"/>
        <v>0</v>
      </c>
      <c r="K27" s="137">
        <f t="shared" si="24"/>
        <v>0</v>
      </c>
      <c r="L27" s="137">
        <f t="shared" si="24"/>
        <v>0</v>
      </c>
      <c r="M27" s="137">
        <f t="shared" si="24"/>
        <v>0</v>
      </c>
      <c r="O27" s="129"/>
      <c r="P27" s="129"/>
      <c r="Q27" s="129"/>
      <c r="R27" s="129"/>
      <c r="S27" s="129"/>
      <c r="T27" s="129"/>
      <c r="U27" s="129"/>
      <c r="V27" s="129"/>
      <c r="W27" s="129"/>
      <c r="X27" s="129"/>
      <c r="Y27" s="129"/>
      <c r="Z27" s="129"/>
      <c r="AA27" s="129"/>
      <c r="AB27" s="129"/>
      <c r="AC27" s="129"/>
      <c r="AD27" s="148">
        <f t="shared" ref="AD27:BJ27" si="25">IFERROR(IF(AND($B11&gt;0,$C11&gt;0,AD21&gt;=$C$2+$D11,MOD(AD21-$C$2-$D11,$C11)=0),$B11*(1+$B$76)^(AD21-$C$2),0),0)</f>
        <v>0</v>
      </c>
      <c r="AE27" s="148">
        <f t="shared" si="25"/>
        <v>0</v>
      </c>
      <c r="AF27" s="149">
        <f t="shared" si="25"/>
        <v>0</v>
      </c>
      <c r="AG27" s="148">
        <f t="shared" si="25"/>
        <v>0</v>
      </c>
      <c r="AH27" s="148">
        <f t="shared" si="25"/>
        <v>0</v>
      </c>
      <c r="AI27" s="148">
        <f t="shared" si="25"/>
        <v>0</v>
      </c>
      <c r="AJ27" s="148">
        <f t="shared" si="25"/>
        <v>0</v>
      </c>
      <c r="AK27" s="148">
        <f t="shared" si="25"/>
        <v>0</v>
      </c>
      <c r="AL27" s="148">
        <f t="shared" si="25"/>
        <v>0</v>
      </c>
      <c r="AM27" s="149">
        <f t="shared" si="25"/>
        <v>0</v>
      </c>
      <c r="AN27" s="148">
        <f t="shared" si="25"/>
        <v>0</v>
      </c>
      <c r="AO27" s="148">
        <f t="shared" si="25"/>
        <v>0</v>
      </c>
      <c r="AP27" s="148">
        <f t="shared" si="25"/>
        <v>0</v>
      </c>
      <c r="AQ27" s="148">
        <f t="shared" si="25"/>
        <v>0</v>
      </c>
      <c r="AR27" s="148">
        <f t="shared" si="25"/>
        <v>0</v>
      </c>
      <c r="AS27" s="148">
        <f t="shared" si="25"/>
        <v>0</v>
      </c>
      <c r="AT27" s="148">
        <f t="shared" si="25"/>
        <v>0</v>
      </c>
      <c r="AU27" s="148">
        <f t="shared" si="25"/>
        <v>0</v>
      </c>
      <c r="AV27" s="148">
        <f t="shared" si="25"/>
        <v>0</v>
      </c>
      <c r="AW27" s="148">
        <f t="shared" si="25"/>
        <v>0</v>
      </c>
      <c r="AX27" s="148">
        <f t="shared" si="25"/>
        <v>0</v>
      </c>
      <c r="AY27" s="149">
        <f t="shared" si="25"/>
        <v>0</v>
      </c>
      <c r="AZ27" s="148">
        <f t="shared" si="25"/>
        <v>0</v>
      </c>
      <c r="BA27" s="148">
        <f t="shared" si="25"/>
        <v>0</v>
      </c>
      <c r="BB27" s="148">
        <f t="shared" si="25"/>
        <v>0</v>
      </c>
      <c r="BC27" s="148">
        <f t="shared" si="25"/>
        <v>0</v>
      </c>
      <c r="BD27" s="148">
        <f t="shared" si="25"/>
        <v>0</v>
      </c>
      <c r="BE27" s="148">
        <f t="shared" si="25"/>
        <v>0</v>
      </c>
      <c r="BF27" s="148">
        <f t="shared" si="25"/>
        <v>0</v>
      </c>
      <c r="BG27" s="148">
        <f t="shared" si="25"/>
        <v>0</v>
      </c>
      <c r="BH27" s="148">
        <f t="shared" si="25"/>
        <v>0</v>
      </c>
      <c r="BI27" s="148">
        <f t="shared" si="25"/>
        <v>0</v>
      </c>
      <c r="BJ27" s="148">
        <f t="shared" si="25"/>
        <v>0</v>
      </c>
      <c r="BK27" s="150"/>
    </row>
    <row r="28" spans="1:70" ht="14.4" customHeight="1" x14ac:dyDescent="0.25">
      <c r="A28" s="129"/>
      <c r="B28" s="83"/>
      <c r="C28" s="83"/>
      <c r="D28" s="83"/>
      <c r="E28" s="83"/>
      <c r="F28" s="140"/>
      <c r="G28" s="140"/>
      <c r="H28" s="140"/>
      <c r="I28" s="140"/>
      <c r="J28" s="140"/>
      <c r="K28" s="140"/>
      <c r="L28" s="140"/>
      <c r="M28" s="140"/>
      <c r="N28" s="129"/>
      <c r="O28" s="129"/>
      <c r="P28" s="129"/>
      <c r="Q28" s="129"/>
      <c r="R28" s="129"/>
      <c r="S28" s="129"/>
      <c r="T28" s="129"/>
      <c r="U28" s="129"/>
      <c r="V28" s="129"/>
      <c r="W28" s="129"/>
      <c r="X28" s="129"/>
      <c r="Y28" s="129"/>
      <c r="Z28" s="129"/>
      <c r="AA28" s="129"/>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9"/>
      <c r="BR28" s="79"/>
    </row>
    <row r="29" spans="1:70" ht="12" customHeight="1" x14ac:dyDescent="0.25">
      <c r="A29" s="129"/>
      <c r="B29" s="141"/>
      <c r="C29" s="85"/>
      <c r="D29" s="85"/>
      <c r="E29" s="85"/>
      <c r="F29" s="85"/>
      <c r="G29" s="85"/>
      <c r="H29" s="85"/>
      <c r="I29" s="85"/>
      <c r="J29" s="85"/>
      <c r="K29" s="85"/>
      <c r="L29" s="85"/>
      <c r="M29" s="85"/>
      <c r="O29" s="129"/>
      <c r="P29" s="129"/>
      <c r="Q29" s="129"/>
      <c r="R29" s="129"/>
      <c r="S29" s="129"/>
      <c r="T29" s="129"/>
      <c r="U29" s="129"/>
      <c r="V29" s="129"/>
      <c r="W29" s="129"/>
      <c r="X29" s="129"/>
      <c r="Y29" s="129"/>
      <c r="Z29" s="129"/>
      <c r="AA29" s="129"/>
      <c r="AB29" s="129"/>
      <c r="AC29" s="129"/>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row>
    <row r="30" spans="1:70" ht="14.4" customHeight="1" x14ac:dyDescent="0.25">
      <c r="A30" s="129" t="str">
        <f>A14</f>
        <v>Beginning Cash Balance</v>
      </c>
      <c r="B30" s="83"/>
      <c r="C30" s="83"/>
      <c r="D30" s="83"/>
      <c r="E30" s="83"/>
      <c r="F30" s="140">
        <f>M18</f>
        <v>280000</v>
      </c>
      <c r="G30" s="140">
        <f t="shared" ref="G30:M30" si="26">F34</f>
        <v>290000</v>
      </c>
      <c r="H30" s="140">
        <f t="shared" si="26"/>
        <v>300000</v>
      </c>
      <c r="I30" s="140">
        <f t="shared" si="26"/>
        <v>74814.633614778693</v>
      </c>
      <c r="J30" s="140">
        <f t="shared" si="26"/>
        <v>84814.633614778693</v>
      </c>
      <c r="K30" s="140">
        <f t="shared" si="26"/>
        <v>94814.633614778693</v>
      </c>
      <c r="L30" s="140">
        <f t="shared" si="26"/>
        <v>104814.63361477869</v>
      </c>
      <c r="M30" s="140">
        <f t="shared" si="26"/>
        <v>114814.63361477869</v>
      </c>
      <c r="O30" s="129"/>
      <c r="P30" s="129"/>
      <c r="Q30" s="129"/>
      <c r="R30" s="129"/>
      <c r="S30" s="129"/>
      <c r="T30" s="129"/>
      <c r="U30" s="129"/>
      <c r="V30" s="129"/>
      <c r="W30" s="129"/>
      <c r="X30" s="129"/>
      <c r="Y30" s="129"/>
      <c r="Z30" s="129"/>
      <c r="AA30" s="129"/>
      <c r="AB30" s="129"/>
      <c r="AC30" s="129"/>
      <c r="AD30" s="140">
        <f>M69</f>
        <v>90000</v>
      </c>
      <c r="AE30" s="140">
        <f t="shared" ref="AE30:BJ30" si="27">AD34</f>
        <v>100000</v>
      </c>
      <c r="AF30" s="140">
        <f t="shared" si="27"/>
        <v>110000</v>
      </c>
      <c r="AG30" s="140">
        <f t="shared" si="27"/>
        <v>0</v>
      </c>
      <c r="AH30" s="140">
        <f t="shared" si="27"/>
        <v>10000</v>
      </c>
      <c r="AI30" s="140">
        <f t="shared" si="27"/>
        <v>20000</v>
      </c>
      <c r="AJ30" s="140">
        <f t="shared" si="27"/>
        <v>30000</v>
      </c>
      <c r="AK30" s="140">
        <f t="shared" si="27"/>
        <v>0</v>
      </c>
      <c r="AL30" s="140">
        <f t="shared" si="27"/>
        <v>10000</v>
      </c>
      <c r="AM30" s="140">
        <f t="shared" si="27"/>
        <v>20000</v>
      </c>
      <c r="AN30" s="140">
        <f t="shared" si="27"/>
        <v>30000</v>
      </c>
      <c r="AO30" s="140">
        <f t="shared" si="27"/>
        <v>40000</v>
      </c>
      <c r="AP30" s="140">
        <f t="shared" si="27"/>
        <v>50000</v>
      </c>
      <c r="AQ30" s="140">
        <f t="shared" si="27"/>
        <v>60000</v>
      </c>
      <c r="AR30" s="140">
        <f t="shared" si="27"/>
        <v>70000</v>
      </c>
      <c r="AS30" s="140">
        <f t="shared" si="27"/>
        <v>0</v>
      </c>
      <c r="AT30" s="140">
        <f t="shared" si="27"/>
        <v>10000</v>
      </c>
      <c r="AU30" s="140">
        <f t="shared" si="27"/>
        <v>20000</v>
      </c>
      <c r="AV30" s="140">
        <f t="shared" si="27"/>
        <v>30000</v>
      </c>
      <c r="AW30" s="140">
        <f t="shared" si="27"/>
        <v>40000</v>
      </c>
      <c r="AX30" s="140">
        <f t="shared" si="27"/>
        <v>50000</v>
      </c>
      <c r="AY30" s="140">
        <f t="shared" si="27"/>
        <v>60000</v>
      </c>
      <c r="AZ30" s="140">
        <f t="shared" si="27"/>
        <v>70000</v>
      </c>
      <c r="BA30" s="140">
        <f t="shared" si="27"/>
        <v>80000</v>
      </c>
      <c r="BB30" s="140">
        <f t="shared" si="27"/>
        <v>90000</v>
      </c>
      <c r="BC30" s="140">
        <f t="shared" si="27"/>
        <v>100000</v>
      </c>
      <c r="BD30" s="140">
        <f t="shared" si="27"/>
        <v>110000</v>
      </c>
      <c r="BE30" s="140">
        <f t="shared" si="27"/>
        <v>0</v>
      </c>
      <c r="BF30" s="140">
        <f t="shared" si="27"/>
        <v>10000</v>
      </c>
      <c r="BG30" s="140">
        <f t="shared" si="27"/>
        <v>20000</v>
      </c>
      <c r="BH30" s="140">
        <f t="shared" si="27"/>
        <v>30000</v>
      </c>
      <c r="BI30" s="140">
        <f t="shared" si="27"/>
        <v>40000</v>
      </c>
      <c r="BJ30" s="140">
        <f t="shared" si="27"/>
        <v>50000</v>
      </c>
    </row>
    <row r="31" spans="1:70" ht="14.4" customHeight="1" x14ac:dyDescent="0.3">
      <c r="A31" s="129" t="str">
        <f>A15</f>
        <v>Annual Reserve Contribution</v>
      </c>
      <c r="E31" s="92"/>
      <c r="F31" s="142">
        <f>M15</f>
        <v>10000</v>
      </c>
      <c r="G31" s="142">
        <f t="shared" ref="G31:M31" si="28">F31</f>
        <v>10000</v>
      </c>
      <c r="H31" s="142">
        <f t="shared" si="28"/>
        <v>10000</v>
      </c>
      <c r="I31" s="142">
        <f t="shared" si="28"/>
        <v>10000</v>
      </c>
      <c r="J31" s="142">
        <f t="shared" si="28"/>
        <v>10000</v>
      </c>
      <c r="K31" s="142">
        <f t="shared" si="28"/>
        <v>10000</v>
      </c>
      <c r="L31" s="142">
        <f t="shared" si="28"/>
        <v>10000</v>
      </c>
      <c r="M31" s="142">
        <f t="shared" si="28"/>
        <v>10000</v>
      </c>
      <c r="O31" s="129"/>
      <c r="P31" s="129"/>
      <c r="Q31" s="129"/>
      <c r="R31" s="129"/>
      <c r="S31" s="129"/>
      <c r="T31" s="129"/>
      <c r="U31" s="129"/>
      <c r="V31" s="129"/>
      <c r="W31" s="129"/>
      <c r="X31" s="129"/>
      <c r="Y31" s="129"/>
      <c r="Z31" s="129"/>
      <c r="AA31" s="129"/>
      <c r="AB31" s="129"/>
      <c r="AC31" s="129"/>
      <c r="AD31" s="140">
        <f>M66</f>
        <v>10000</v>
      </c>
      <c r="AE31" s="140">
        <f t="shared" ref="AE31:BJ31" si="29">AD31</f>
        <v>10000</v>
      </c>
      <c r="AF31" s="140">
        <f t="shared" si="29"/>
        <v>10000</v>
      </c>
      <c r="AG31" s="140">
        <f t="shared" si="29"/>
        <v>10000</v>
      </c>
      <c r="AH31" s="140">
        <f t="shared" si="29"/>
        <v>10000</v>
      </c>
      <c r="AI31" s="140">
        <f t="shared" si="29"/>
        <v>10000</v>
      </c>
      <c r="AJ31" s="140">
        <f t="shared" si="29"/>
        <v>10000</v>
      </c>
      <c r="AK31" s="140">
        <f t="shared" si="29"/>
        <v>10000</v>
      </c>
      <c r="AL31" s="140">
        <f t="shared" si="29"/>
        <v>10000</v>
      </c>
      <c r="AM31" s="140">
        <f t="shared" si="29"/>
        <v>10000</v>
      </c>
      <c r="AN31" s="140">
        <f t="shared" si="29"/>
        <v>10000</v>
      </c>
      <c r="AO31" s="140">
        <f t="shared" si="29"/>
        <v>10000</v>
      </c>
      <c r="AP31" s="140">
        <f t="shared" si="29"/>
        <v>10000</v>
      </c>
      <c r="AQ31" s="140">
        <f t="shared" si="29"/>
        <v>10000</v>
      </c>
      <c r="AR31" s="140">
        <f t="shared" si="29"/>
        <v>10000</v>
      </c>
      <c r="AS31" s="140">
        <f t="shared" si="29"/>
        <v>10000</v>
      </c>
      <c r="AT31" s="140">
        <f t="shared" si="29"/>
        <v>10000</v>
      </c>
      <c r="AU31" s="140">
        <f t="shared" si="29"/>
        <v>10000</v>
      </c>
      <c r="AV31" s="140">
        <f t="shared" si="29"/>
        <v>10000</v>
      </c>
      <c r="AW31" s="140">
        <f t="shared" si="29"/>
        <v>10000</v>
      </c>
      <c r="AX31" s="140">
        <f t="shared" si="29"/>
        <v>10000</v>
      </c>
      <c r="AY31" s="140">
        <f t="shared" si="29"/>
        <v>10000</v>
      </c>
      <c r="AZ31" s="140">
        <f t="shared" si="29"/>
        <v>10000</v>
      </c>
      <c r="BA31" s="140">
        <f t="shared" si="29"/>
        <v>10000</v>
      </c>
      <c r="BB31" s="140">
        <f t="shared" si="29"/>
        <v>10000</v>
      </c>
      <c r="BC31" s="140">
        <f t="shared" si="29"/>
        <v>10000</v>
      </c>
      <c r="BD31" s="140">
        <f t="shared" si="29"/>
        <v>10000</v>
      </c>
      <c r="BE31" s="140">
        <f t="shared" si="29"/>
        <v>10000</v>
      </c>
      <c r="BF31" s="140">
        <f t="shared" si="29"/>
        <v>10000</v>
      </c>
      <c r="BG31" s="140">
        <f t="shared" si="29"/>
        <v>10000</v>
      </c>
      <c r="BH31" s="140">
        <f t="shared" si="29"/>
        <v>10000</v>
      </c>
      <c r="BI31" s="140">
        <f t="shared" si="29"/>
        <v>10000</v>
      </c>
      <c r="BJ31" s="140">
        <f t="shared" si="29"/>
        <v>10000</v>
      </c>
    </row>
    <row r="32" spans="1:70" ht="14.4" customHeight="1" x14ac:dyDescent="0.3">
      <c r="A32" s="129" t="str">
        <f>A16</f>
        <v>Projected Shortfall to Next Funding Gap</v>
      </c>
      <c r="E32" s="144"/>
      <c r="F32" s="145">
        <f t="shared" ref="F32:L32" si="30">IF(MAX(0,F33-F30-F31)&gt;0,MAX(0,F33-F30-F31),IF(G32&gt;0,G32+G31,0))</f>
        <v>5052484.550104931</v>
      </c>
      <c r="G32" s="145">
        <f t="shared" si="30"/>
        <v>5042484.550104931</v>
      </c>
      <c r="H32" s="145">
        <f t="shared" si="30"/>
        <v>5032484.550104931</v>
      </c>
      <c r="I32" s="145">
        <f t="shared" si="30"/>
        <v>5022484.550104931</v>
      </c>
      <c r="J32" s="145">
        <f t="shared" si="30"/>
        <v>5012484.550104931</v>
      </c>
      <c r="K32" s="145">
        <f t="shared" si="30"/>
        <v>5002484.550104931</v>
      </c>
      <c r="L32" s="145">
        <f t="shared" si="30"/>
        <v>4992484.550104931</v>
      </c>
      <c r="M32" s="145">
        <f>IF(MAX(0,M33-M30-M31)&gt;0,MAX(0,M33-M30-M31),IF(F51&gt;0,F51+F50,0))</f>
        <v>4982484.550104931</v>
      </c>
      <c r="N32" s="144"/>
      <c r="O32" s="129"/>
      <c r="P32" s="129"/>
      <c r="Q32" s="129"/>
      <c r="R32" s="129"/>
      <c r="S32" s="129"/>
      <c r="T32" s="129"/>
      <c r="U32" s="129"/>
      <c r="V32" s="129"/>
      <c r="W32" s="129"/>
      <c r="X32" s="129"/>
      <c r="Y32" s="129"/>
      <c r="Z32" s="129"/>
      <c r="AA32" s="129"/>
      <c r="AB32" s="129"/>
      <c r="AC32" s="129"/>
      <c r="AD32" s="140">
        <f t="shared" ref="AD32:BI32" si="31">IF(MAX(0,AD33-AD30-AD31)&gt;0,MAX(0,AD33-AD30-AD31),IF(AE32&gt;0,AE32+AE31,0))</f>
        <v>378083.42671360809</v>
      </c>
      <c r="AE32" s="140">
        <f t="shared" si="31"/>
        <v>368083.42671360809</v>
      </c>
      <c r="AF32" s="140">
        <f t="shared" si="31"/>
        <v>358083.42671360809</v>
      </c>
      <c r="AG32" s="140">
        <f t="shared" si="31"/>
        <v>9214350.4345340896</v>
      </c>
      <c r="AH32" s="140">
        <f t="shared" si="31"/>
        <v>9204350.4345340896</v>
      </c>
      <c r="AI32" s="140">
        <f t="shared" si="31"/>
        <v>9194350.4345340896</v>
      </c>
      <c r="AJ32" s="140">
        <f t="shared" si="31"/>
        <v>9184350.4345340896</v>
      </c>
      <c r="AK32" s="140">
        <f t="shared" si="31"/>
        <v>671632.65045765403</v>
      </c>
      <c r="AL32" s="140">
        <f t="shared" si="31"/>
        <v>661632.65045765403</v>
      </c>
      <c r="AM32" s="140">
        <f t="shared" si="31"/>
        <v>651632.65045765403</v>
      </c>
      <c r="AN32" s="140">
        <f t="shared" si="31"/>
        <v>641632.65045765403</v>
      </c>
      <c r="AO32" s="140">
        <f t="shared" si="31"/>
        <v>631632.65045765403</v>
      </c>
      <c r="AP32" s="140">
        <f t="shared" si="31"/>
        <v>621632.65045765403</v>
      </c>
      <c r="AQ32" s="140">
        <f t="shared" si="31"/>
        <v>611632.65045765403</v>
      </c>
      <c r="AR32" s="140">
        <f t="shared" si="31"/>
        <v>601632.65045765403</v>
      </c>
      <c r="AS32" s="140">
        <f t="shared" si="31"/>
        <v>17622048.124559522</v>
      </c>
      <c r="AT32" s="140">
        <f t="shared" si="31"/>
        <v>17612048.124559522</v>
      </c>
      <c r="AU32" s="140">
        <f t="shared" si="31"/>
        <v>17602048.124559522</v>
      </c>
      <c r="AV32" s="140">
        <f t="shared" si="31"/>
        <v>17592048.124559522</v>
      </c>
      <c r="AW32" s="140">
        <f t="shared" si="31"/>
        <v>17582048.124559522</v>
      </c>
      <c r="AX32" s="140">
        <f t="shared" si="31"/>
        <v>17572048.124559522</v>
      </c>
      <c r="AY32" s="140">
        <f t="shared" si="31"/>
        <v>17562048.124559522</v>
      </c>
      <c r="AZ32" s="140">
        <f t="shared" si="31"/>
        <v>17552048.124559522</v>
      </c>
      <c r="BA32" s="140">
        <f t="shared" si="31"/>
        <v>17542048.124559522</v>
      </c>
      <c r="BB32" s="140">
        <f t="shared" si="31"/>
        <v>17532048.124559522</v>
      </c>
      <c r="BC32" s="140">
        <f t="shared" si="31"/>
        <v>17522048.124559522</v>
      </c>
      <c r="BD32" s="140">
        <f t="shared" si="31"/>
        <v>17512048.124559522</v>
      </c>
      <c r="BE32" s="140">
        <f t="shared" si="31"/>
        <v>0</v>
      </c>
      <c r="BF32" s="140">
        <f t="shared" si="31"/>
        <v>0</v>
      </c>
      <c r="BG32" s="140">
        <f t="shared" si="31"/>
        <v>0</v>
      </c>
      <c r="BH32" s="140">
        <f t="shared" si="31"/>
        <v>0</v>
      </c>
      <c r="BI32" s="140">
        <f t="shared" si="31"/>
        <v>0</v>
      </c>
      <c r="BJ32" s="140">
        <f>MAX(0,BJ33-BJ30-BJ31)</f>
        <v>0</v>
      </c>
    </row>
    <row r="33" spans="1:62" ht="14.4" customHeight="1" x14ac:dyDescent="0.25">
      <c r="A33" s="129" t="str">
        <f>A17</f>
        <v>Total Expenditures</v>
      </c>
      <c r="F33" s="140">
        <f t="shared" ref="F33:M33" si="32">SUM(F22:F27)</f>
        <v>0</v>
      </c>
      <c r="G33" s="140">
        <f t="shared" si="32"/>
        <v>0</v>
      </c>
      <c r="H33" s="140">
        <f t="shared" si="32"/>
        <v>235185.36638522131</v>
      </c>
      <c r="I33" s="140">
        <f t="shared" si="32"/>
        <v>0</v>
      </c>
      <c r="J33" s="140">
        <f t="shared" si="32"/>
        <v>0</v>
      </c>
      <c r="K33" s="140">
        <f t="shared" si="32"/>
        <v>0</v>
      </c>
      <c r="L33" s="140">
        <f t="shared" si="32"/>
        <v>0</v>
      </c>
      <c r="M33" s="140">
        <f t="shared" si="32"/>
        <v>0</v>
      </c>
      <c r="O33" s="129"/>
      <c r="P33" s="129"/>
      <c r="Q33" s="129"/>
      <c r="R33" s="129"/>
      <c r="S33" s="129"/>
      <c r="T33" s="129"/>
      <c r="U33" s="129"/>
      <c r="V33" s="129"/>
      <c r="W33" s="129"/>
      <c r="X33" s="129"/>
      <c r="Y33" s="129"/>
      <c r="Z33" s="129"/>
      <c r="AA33" s="129"/>
      <c r="AB33" s="129"/>
      <c r="AC33" s="129"/>
      <c r="AD33" s="140">
        <f t="shared" ref="AD33:BJ33" si="33">SUM(AD22:AD27)</f>
        <v>0</v>
      </c>
      <c r="AE33" s="140">
        <f t="shared" si="33"/>
        <v>0</v>
      </c>
      <c r="AF33" s="140">
        <f t="shared" si="33"/>
        <v>478083.42671360809</v>
      </c>
      <c r="AG33" s="140">
        <f t="shared" si="33"/>
        <v>0</v>
      </c>
      <c r="AH33" s="140">
        <f t="shared" si="33"/>
        <v>0</v>
      </c>
      <c r="AI33" s="140">
        <f t="shared" si="33"/>
        <v>0</v>
      </c>
      <c r="AJ33" s="140">
        <f t="shared" si="33"/>
        <v>9224350.4345340896</v>
      </c>
      <c r="AK33" s="140">
        <f t="shared" si="33"/>
        <v>0</v>
      </c>
      <c r="AL33" s="140">
        <f t="shared" si="33"/>
        <v>0</v>
      </c>
      <c r="AM33" s="140">
        <f t="shared" si="33"/>
        <v>0</v>
      </c>
      <c r="AN33" s="140">
        <f t="shared" si="33"/>
        <v>0</v>
      </c>
      <c r="AO33" s="140">
        <f t="shared" si="33"/>
        <v>0</v>
      </c>
      <c r="AP33" s="140">
        <f t="shared" si="33"/>
        <v>0</v>
      </c>
      <c r="AQ33" s="140">
        <f t="shared" si="33"/>
        <v>0</v>
      </c>
      <c r="AR33" s="140">
        <f t="shared" si="33"/>
        <v>681632.65045765403</v>
      </c>
      <c r="AS33" s="140">
        <f t="shared" si="33"/>
        <v>0</v>
      </c>
      <c r="AT33" s="140">
        <f t="shared" si="33"/>
        <v>0</v>
      </c>
      <c r="AU33" s="140">
        <f t="shared" si="33"/>
        <v>0</v>
      </c>
      <c r="AV33" s="140">
        <f t="shared" si="33"/>
        <v>0</v>
      </c>
      <c r="AW33" s="140">
        <f t="shared" si="33"/>
        <v>0</v>
      </c>
      <c r="AX33" s="140">
        <f t="shared" si="33"/>
        <v>0</v>
      </c>
      <c r="AY33" s="140">
        <f t="shared" si="33"/>
        <v>0</v>
      </c>
      <c r="AZ33" s="140">
        <f t="shared" si="33"/>
        <v>0</v>
      </c>
      <c r="BA33" s="140">
        <f t="shared" si="33"/>
        <v>0</v>
      </c>
      <c r="BB33" s="140">
        <f t="shared" si="33"/>
        <v>0</v>
      </c>
      <c r="BC33" s="140">
        <f t="shared" si="33"/>
        <v>0</v>
      </c>
      <c r="BD33" s="140">
        <f t="shared" si="33"/>
        <v>17632048.124559522</v>
      </c>
      <c r="BE33" s="140">
        <f t="shared" si="33"/>
        <v>0</v>
      </c>
      <c r="BF33" s="140">
        <f t="shared" si="33"/>
        <v>0</v>
      </c>
      <c r="BG33" s="140">
        <f t="shared" si="33"/>
        <v>0</v>
      </c>
      <c r="BH33" s="140">
        <f t="shared" si="33"/>
        <v>0</v>
      </c>
      <c r="BI33" s="140">
        <f t="shared" si="33"/>
        <v>0</v>
      </c>
      <c r="BJ33" s="140">
        <f t="shared" si="33"/>
        <v>0</v>
      </c>
    </row>
    <row r="34" spans="1:62" ht="14.4" customHeight="1" x14ac:dyDescent="0.3">
      <c r="A34" s="129" t="str">
        <f>A18</f>
        <v>Ending Cash (Assumes Gap Funded)</v>
      </c>
      <c r="B34" s="83"/>
      <c r="C34" s="83"/>
      <c r="D34" s="83"/>
      <c r="E34" s="91"/>
      <c r="F34" s="142">
        <f t="shared" ref="F34:M34" si="34">F30+F31+MAX(0,F33-F30-F31)-F33</f>
        <v>290000</v>
      </c>
      <c r="G34" s="142">
        <f t="shared" si="34"/>
        <v>300000</v>
      </c>
      <c r="H34" s="142">
        <f t="shared" si="34"/>
        <v>74814.633614778693</v>
      </c>
      <c r="I34" s="142">
        <f t="shared" si="34"/>
        <v>84814.633614778693</v>
      </c>
      <c r="J34" s="142">
        <f t="shared" si="34"/>
        <v>94814.633614778693</v>
      </c>
      <c r="K34" s="142">
        <f t="shared" si="34"/>
        <v>104814.63361477869</v>
      </c>
      <c r="L34" s="142">
        <f t="shared" si="34"/>
        <v>114814.63361477869</v>
      </c>
      <c r="M34" s="142">
        <f t="shared" si="34"/>
        <v>124814.63361477869</v>
      </c>
      <c r="N34" s="92"/>
      <c r="O34" s="129"/>
      <c r="P34" s="129"/>
      <c r="Q34" s="129"/>
      <c r="R34" s="129"/>
      <c r="S34" s="129"/>
      <c r="T34" s="129"/>
      <c r="U34" s="129"/>
      <c r="V34" s="129"/>
      <c r="W34" s="129"/>
      <c r="X34" s="129"/>
      <c r="Y34" s="129"/>
      <c r="Z34" s="129"/>
      <c r="AA34" s="129"/>
      <c r="AB34" s="129"/>
      <c r="AC34" s="129"/>
      <c r="AD34" s="140">
        <f t="shared" ref="AD34:BJ34" si="35">AD30+AD31+MAX(0,AD33-AD30-AD31)-AD33</f>
        <v>100000</v>
      </c>
      <c r="AE34" s="140">
        <f t="shared" si="35"/>
        <v>110000</v>
      </c>
      <c r="AF34" s="140">
        <f t="shared" si="35"/>
        <v>0</v>
      </c>
      <c r="AG34" s="140">
        <f t="shared" si="35"/>
        <v>10000</v>
      </c>
      <c r="AH34" s="140">
        <f t="shared" si="35"/>
        <v>20000</v>
      </c>
      <c r="AI34" s="140">
        <f t="shared" si="35"/>
        <v>30000</v>
      </c>
      <c r="AJ34" s="140">
        <f t="shared" si="35"/>
        <v>0</v>
      </c>
      <c r="AK34" s="140">
        <f t="shared" si="35"/>
        <v>10000</v>
      </c>
      <c r="AL34" s="140">
        <f t="shared" si="35"/>
        <v>20000</v>
      </c>
      <c r="AM34" s="140">
        <f t="shared" si="35"/>
        <v>30000</v>
      </c>
      <c r="AN34" s="140">
        <f t="shared" si="35"/>
        <v>40000</v>
      </c>
      <c r="AO34" s="140">
        <f t="shared" si="35"/>
        <v>50000</v>
      </c>
      <c r="AP34" s="140">
        <f t="shared" si="35"/>
        <v>60000</v>
      </c>
      <c r="AQ34" s="140">
        <f t="shared" si="35"/>
        <v>70000</v>
      </c>
      <c r="AR34" s="140">
        <f t="shared" si="35"/>
        <v>0</v>
      </c>
      <c r="AS34" s="140">
        <f t="shared" si="35"/>
        <v>10000</v>
      </c>
      <c r="AT34" s="140">
        <f t="shared" si="35"/>
        <v>20000</v>
      </c>
      <c r="AU34" s="140">
        <f t="shared" si="35"/>
        <v>30000</v>
      </c>
      <c r="AV34" s="140">
        <f t="shared" si="35"/>
        <v>40000</v>
      </c>
      <c r="AW34" s="140">
        <f t="shared" si="35"/>
        <v>50000</v>
      </c>
      <c r="AX34" s="140">
        <f t="shared" si="35"/>
        <v>60000</v>
      </c>
      <c r="AY34" s="140">
        <f t="shared" si="35"/>
        <v>70000</v>
      </c>
      <c r="AZ34" s="140">
        <f t="shared" si="35"/>
        <v>80000</v>
      </c>
      <c r="BA34" s="140">
        <f t="shared" si="35"/>
        <v>90000</v>
      </c>
      <c r="BB34" s="140">
        <f t="shared" si="35"/>
        <v>100000</v>
      </c>
      <c r="BC34" s="140">
        <f t="shared" si="35"/>
        <v>110000</v>
      </c>
      <c r="BD34" s="140">
        <f t="shared" si="35"/>
        <v>0</v>
      </c>
      <c r="BE34" s="140">
        <f t="shared" si="35"/>
        <v>10000</v>
      </c>
      <c r="BF34" s="140">
        <f t="shared" si="35"/>
        <v>20000</v>
      </c>
      <c r="BG34" s="140">
        <f t="shared" si="35"/>
        <v>30000</v>
      </c>
      <c r="BH34" s="140">
        <f t="shared" si="35"/>
        <v>40000</v>
      </c>
      <c r="BI34" s="140">
        <f t="shared" si="35"/>
        <v>50000</v>
      </c>
      <c r="BJ34" s="140">
        <f t="shared" si="35"/>
        <v>60000</v>
      </c>
    </row>
    <row r="35" spans="1:62" ht="14.4" customHeight="1" x14ac:dyDescent="0.25">
      <c r="A35" s="129"/>
      <c r="B35" s="83"/>
      <c r="C35" s="83"/>
      <c r="D35" s="83"/>
      <c r="E35" s="83"/>
      <c r="F35" s="140"/>
      <c r="G35" s="140"/>
      <c r="H35" s="140"/>
      <c r="I35" s="140"/>
      <c r="J35" s="140"/>
      <c r="K35" s="140"/>
      <c r="L35" s="140"/>
      <c r="M35" s="140"/>
      <c r="O35" s="129"/>
      <c r="P35" s="129"/>
      <c r="Q35" s="129"/>
      <c r="R35" s="129"/>
      <c r="S35" s="129"/>
      <c r="T35" s="129"/>
      <c r="U35" s="129"/>
      <c r="V35" s="129"/>
      <c r="W35" s="129"/>
      <c r="X35" s="129"/>
      <c r="Y35" s="129"/>
      <c r="Z35" s="129"/>
      <c r="AA35" s="129"/>
      <c r="AB35" s="129"/>
      <c r="AC35" s="129"/>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row>
    <row r="36" spans="1:62" ht="14.4" customHeight="1" x14ac:dyDescent="0.25">
      <c r="A36" s="129"/>
      <c r="B36" s="83"/>
      <c r="C36" s="83"/>
      <c r="D36" s="83"/>
      <c r="E36" s="83"/>
      <c r="F36" s="140"/>
      <c r="G36" s="140"/>
      <c r="H36" s="140"/>
      <c r="I36" s="140"/>
      <c r="J36" s="140"/>
      <c r="K36" s="140"/>
      <c r="L36" s="140"/>
      <c r="M36" s="140"/>
      <c r="O36" s="129"/>
      <c r="P36" s="129"/>
      <c r="Q36" s="129"/>
      <c r="R36" s="129"/>
      <c r="S36" s="129"/>
      <c r="T36" s="129"/>
      <c r="U36" s="129"/>
      <c r="V36" s="129"/>
      <c r="W36" s="129"/>
      <c r="X36" s="129"/>
      <c r="Y36" s="129"/>
      <c r="Z36" s="129"/>
      <c r="AA36" s="129"/>
      <c r="AB36" s="129"/>
      <c r="AC36" s="129"/>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row>
    <row r="37" spans="1:62" ht="28.8" customHeight="1" x14ac:dyDescent="0.25">
      <c r="A37" s="80" t="str">
        <f>A2</f>
        <v>Pooled Reserve Schedule</v>
      </c>
      <c r="B37" s="130" t="str">
        <f>B2</f>
        <v>First Year</v>
      </c>
      <c r="C37" s="181">
        <f>C2</f>
        <v>2027</v>
      </c>
      <c r="D37" s="81" t="str">
        <f>D2</f>
        <v>Update the first year!</v>
      </c>
      <c r="E37" s="130"/>
      <c r="F37" s="86"/>
      <c r="G37" s="185"/>
      <c r="H37" s="186"/>
      <c r="I37" s="186"/>
      <c r="J37" s="186"/>
      <c r="O37" s="129"/>
      <c r="P37" s="129"/>
      <c r="Q37" s="129"/>
      <c r="R37" s="129"/>
      <c r="S37" s="129"/>
      <c r="T37" s="129"/>
      <c r="U37" s="129"/>
      <c r="V37" s="129"/>
      <c r="W37" s="129"/>
      <c r="X37" s="129"/>
      <c r="Y37" s="129"/>
      <c r="Z37" s="129"/>
      <c r="AA37" s="129"/>
      <c r="AB37" s="129"/>
      <c r="AC37" s="129"/>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row>
    <row r="38" spans="1:62" ht="9.6" customHeight="1" x14ac:dyDescent="0.25">
      <c r="A38" s="80"/>
      <c r="B38" s="130"/>
      <c r="C38" s="86"/>
      <c r="D38" s="81"/>
      <c r="E38" s="151"/>
      <c r="F38" s="86"/>
      <c r="G38" s="5"/>
      <c r="H38" s="5"/>
      <c r="I38" s="5"/>
      <c r="J38" s="5"/>
      <c r="O38" s="129"/>
      <c r="P38" s="129"/>
      <c r="Q38" s="129"/>
      <c r="R38" s="129"/>
      <c r="S38" s="129"/>
      <c r="T38" s="129"/>
      <c r="U38" s="129"/>
      <c r="V38" s="129"/>
      <c r="W38" s="129"/>
      <c r="X38" s="129"/>
      <c r="Y38" s="129"/>
      <c r="Z38" s="129"/>
      <c r="AA38" s="129"/>
      <c r="AB38" s="129"/>
      <c r="AC38" s="129"/>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row>
    <row r="39" spans="1:62" ht="14.4" customHeight="1" x14ac:dyDescent="0.25">
      <c r="A39" s="129"/>
      <c r="B39" s="83"/>
      <c r="C39" s="83"/>
      <c r="D39" s="83"/>
      <c r="E39" s="83"/>
      <c r="F39" s="140"/>
      <c r="G39" s="140"/>
      <c r="H39" s="140"/>
      <c r="I39" s="140"/>
      <c r="J39" s="140"/>
      <c r="K39" s="140"/>
      <c r="L39" s="140"/>
      <c r="M39" s="140"/>
      <c r="O39" s="129"/>
      <c r="P39" s="129"/>
      <c r="Q39" s="129"/>
      <c r="R39" s="129"/>
      <c r="S39" s="129"/>
      <c r="T39" s="129"/>
      <c r="U39" s="129"/>
      <c r="V39" s="129"/>
      <c r="W39" s="129"/>
      <c r="X39" s="129"/>
      <c r="Y39" s="129"/>
      <c r="Z39" s="129"/>
      <c r="AA39" s="129"/>
      <c r="AB39" s="129"/>
      <c r="AC39" s="129"/>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row>
    <row r="40" spans="1:62" ht="27" customHeight="1" x14ac:dyDescent="0.25">
      <c r="A40" s="132" t="str">
        <f t="shared" ref="A40:D46" si="36">A21</f>
        <v>Category</v>
      </c>
      <c r="B40" s="130" t="str">
        <f t="shared" si="36"/>
        <v>Replacement Cost</v>
      </c>
      <c r="C40" s="130" t="str">
        <f t="shared" si="36"/>
        <v>Useful Life</v>
      </c>
      <c r="D40" s="130" t="str">
        <f t="shared" si="36"/>
        <v>Remaining Life</v>
      </c>
      <c r="E40" s="130" t="s">
        <v>11</v>
      </c>
      <c r="F40" s="133">
        <f>$C$2+16</f>
        <v>2043</v>
      </c>
      <c r="G40" s="133">
        <f>$C$2+17</f>
        <v>2044</v>
      </c>
      <c r="H40" s="133">
        <f>$C$2+18</f>
        <v>2045</v>
      </c>
      <c r="I40" s="133">
        <f>$C$2+19</f>
        <v>2046</v>
      </c>
      <c r="J40" s="133">
        <f>$C$2+20</f>
        <v>2047</v>
      </c>
      <c r="K40" s="133">
        <f>$C$2+21</f>
        <v>2048</v>
      </c>
      <c r="L40" s="133">
        <f>$C$2+22</f>
        <v>2049</v>
      </c>
      <c r="M40" s="133">
        <f>$C$2+23</f>
        <v>2050</v>
      </c>
      <c r="O40" s="129"/>
      <c r="P40" s="129"/>
      <c r="Q40" s="129"/>
      <c r="R40" s="129"/>
      <c r="S40" s="129"/>
      <c r="T40" s="129"/>
      <c r="U40" s="129"/>
      <c r="V40" s="140"/>
      <c r="W40" s="140"/>
      <c r="X40" s="140"/>
    </row>
    <row r="41" spans="1:62" ht="14.4" customHeight="1" x14ac:dyDescent="0.25">
      <c r="A41" s="147" t="str">
        <f t="shared" si="36"/>
        <v>Roof- Replacement</v>
      </c>
      <c r="B41" s="137">
        <f t="shared" si="36"/>
        <v>3000000</v>
      </c>
      <c r="C41" s="140">
        <f t="shared" si="36"/>
        <v>20</v>
      </c>
      <c r="D41" s="140">
        <f t="shared" si="36"/>
        <v>18</v>
      </c>
      <c r="E41" s="152">
        <f t="shared" ref="E41:E46" si="37">IF(OR(B41="",B41=0,D41=""),"",$C$2+D41)</f>
        <v>2045</v>
      </c>
      <c r="F41" s="137">
        <f t="shared" ref="F41:M41" si="38">IFERROR(IF(AND($B6&gt;0,$C6&gt;0,F40&gt;=$C$2+$D6,MOD(F40-$C$2-$D6,$C6)=0),$B6*(1+$B$76)^(F40-$C$2),0),0)</f>
        <v>0</v>
      </c>
      <c r="G41" s="137">
        <f t="shared" si="38"/>
        <v>0</v>
      </c>
      <c r="H41" s="137">
        <f t="shared" si="38"/>
        <v>5107299.1837197095</v>
      </c>
      <c r="I41" s="137">
        <f t="shared" si="38"/>
        <v>0</v>
      </c>
      <c r="J41" s="137">
        <f t="shared" si="38"/>
        <v>0</v>
      </c>
      <c r="K41" s="137">
        <f t="shared" si="38"/>
        <v>0</v>
      </c>
      <c r="L41" s="137">
        <f t="shared" si="38"/>
        <v>0</v>
      </c>
      <c r="M41" s="137">
        <f t="shared" si="38"/>
        <v>0</v>
      </c>
      <c r="O41" s="129"/>
      <c r="P41" s="129"/>
      <c r="Q41" s="129"/>
      <c r="R41" s="129"/>
      <c r="S41" s="129"/>
      <c r="T41" s="129"/>
      <c r="U41" s="129"/>
      <c r="V41" s="140"/>
      <c r="W41" s="140"/>
      <c r="X41" s="140"/>
    </row>
    <row r="42" spans="1:62" ht="14.4" customHeight="1" x14ac:dyDescent="0.25">
      <c r="A42" s="147" t="str">
        <f t="shared" si="36"/>
        <v>Buildings - Repaint</v>
      </c>
      <c r="B42" s="137">
        <f t="shared" si="36"/>
        <v>175000</v>
      </c>
      <c r="C42" s="140">
        <f t="shared" si="36"/>
        <v>12</v>
      </c>
      <c r="D42" s="140">
        <f t="shared" si="36"/>
        <v>10</v>
      </c>
      <c r="E42" s="152">
        <f t="shared" si="37"/>
        <v>2037</v>
      </c>
      <c r="F42" s="137">
        <f t="shared" ref="F42:M42" si="39">IFERROR(IF(AND($B7&gt;0,$C7&gt;0,F40&gt;=$C$2+$D7,MOD(F40-$C$2-$D7,$C7)=0),$B7*(1+$B$76)^(F40-$C$2),0),0)</f>
        <v>0</v>
      </c>
      <c r="G42" s="137">
        <f t="shared" si="39"/>
        <v>0</v>
      </c>
      <c r="H42" s="137">
        <f t="shared" si="39"/>
        <v>0</v>
      </c>
      <c r="I42" s="137">
        <f t="shared" si="39"/>
        <v>0</v>
      </c>
      <c r="J42" s="137">
        <f t="shared" si="39"/>
        <v>0</v>
      </c>
      <c r="K42" s="137">
        <f t="shared" si="39"/>
        <v>0</v>
      </c>
      <c r="L42" s="137">
        <f t="shared" si="39"/>
        <v>335318.09655063658</v>
      </c>
      <c r="M42" s="137">
        <f t="shared" si="39"/>
        <v>0</v>
      </c>
      <c r="O42" s="129"/>
      <c r="P42" s="129"/>
      <c r="Q42" s="129"/>
      <c r="R42" s="129"/>
      <c r="S42" s="129"/>
      <c r="T42" s="129"/>
      <c r="U42" s="129"/>
      <c r="V42" s="140"/>
      <c r="W42" s="140"/>
      <c r="X42" s="140"/>
    </row>
    <row r="43" spans="1:62" ht="14.4" customHeight="1" x14ac:dyDescent="0.25">
      <c r="A43" s="139">
        <f t="shared" si="36"/>
        <v>3</v>
      </c>
      <c r="B43" s="137">
        <f t="shared" si="36"/>
        <v>0</v>
      </c>
      <c r="C43" s="140">
        <f t="shared" si="36"/>
        <v>0</v>
      </c>
      <c r="D43" s="140">
        <f t="shared" si="36"/>
        <v>0</v>
      </c>
      <c r="E43" s="152" t="str">
        <f t="shared" si="37"/>
        <v/>
      </c>
      <c r="F43" s="137">
        <f t="shared" ref="F43:M43" si="40">IFERROR(IF(AND($B8&gt;0,$C8&gt;0,F40&gt;=$C$2+$D8,MOD(F40-$C$2-$D8,$C8)=0),$B8*(1+$B$76)^(F40-$C$2),0),0)</f>
        <v>0</v>
      </c>
      <c r="G43" s="137">
        <f t="shared" si="40"/>
        <v>0</v>
      </c>
      <c r="H43" s="137">
        <f t="shared" si="40"/>
        <v>0</v>
      </c>
      <c r="I43" s="137">
        <f t="shared" si="40"/>
        <v>0</v>
      </c>
      <c r="J43" s="137">
        <f t="shared" si="40"/>
        <v>0</v>
      </c>
      <c r="K43" s="137">
        <f t="shared" si="40"/>
        <v>0</v>
      </c>
      <c r="L43" s="137">
        <f t="shared" si="40"/>
        <v>0</v>
      </c>
      <c r="M43" s="137">
        <f t="shared" si="40"/>
        <v>0</v>
      </c>
      <c r="O43" s="133"/>
      <c r="P43" s="129"/>
      <c r="Q43" s="129"/>
      <c r="R43" s="129"/>
      <c r="S43" s="129"/>
      <c r="T43" s="129"/>
      <c r="U43" s="129"/>
      <c r="V43" s="85"/>
      <c r="W43" s="85"/>
      <c r="X43" s="85"/>
    </row>
    <row r="44" spans="1:62" ht="14.4" customHeight="1" x14ac:dyDescent="0.25">
      <c r="A44" s="139">
        <f t="shared" si="36"/>
        <v>4</v>
      </c>
      <c r="B44" s="137">
        <f t="shared" si="36"/>
        <v>0</v>
      </c>
      <c r="C44" s="140">
        <f t="shared" si="36"/>
        <v>0</v>
      </c>
      <c r="D44" s="140">
        <f t="shared" si="36"/>
        <v>0</v>
      </c>
      <c r="E44" s="152" t="str">
        <f t="shared" si="37"/>
        <v/>
      </c>
      <c r="F44" s="137">
        <f t="shared" ref="F44:M44" si="41">IFERROR(IF(AND($B9&gt;0,$C9&gt;0,F40&gt;=$C$2+$D9,MOD(F40-$C$2-$D9,$C9)=0),$B9*(1+$B$76)^(F40-$C$2),0),0)</f>
        <v>0</v>
      </c>
      <c r="G44" s="137">
        <f t="shared" si="41"/>
        <v>0</v>
      </c>
      <c r="H44" s="137">
        <f t="shared" si="41"/>
        <v>0</v>
      </c>
      <c r="I44" s="137">
        <f t="shared" si="41"/>
        <v>0</v>
      </c>
      <c r="J44" s="137">
        <f t="shared" si="41"/>
        <v>0</v>
      </c>
      <c r="K44" s="137">
        <f t="shared" si="41"/>
        <v>0</v>
      </c>
      <c r="L44" s="137">
        <f t="shared" si="41"/>
        <v>0</v>
      </c>
      <c r="M44" s="137">
        <f t="shared" si="41"/>
        <v>0</v>
      </c>
      <c r="O44" s="129"/>
      <c r="P44" s="129"/>
      <c r="Q44" s="129"/>
      <c r="R44" s="129"/>
      <c r="S44" s="129"/>
      <c r="T44" s="129"/>
      <c r="U44" s="129"/>
      <c r="V44" s="83"/>
      <c r="W44" s="83"/>
      <c r="X44" s="83"/>
    </row>
    <row r="45" spans="1:62" ht="14.4" customHeight="1" x14ac:dyDescent="0.25">
      <c r="A45" s="139">
        <f t="shared" si="36"/>
        <v>5</v>
      </c>
      <c r="B45" s="137">
        <f t="shared" si="36"/>
        <v>0</v>
      </c>
      <c r="C45" s="140">
        <f t="shared" si="36"/>
        <v>0</v>
      </c>
      <c r="D45" s="140">
        <f t="shared" si="36"/>
        <v>0</v>
      </c>
      <c r="E45" s="152" t="str">
        <f t="shared" si="37"/>
        <v/>
      </c>
      <c r="F45" s="137">
        <f t="shared" ref="F45:M45" si="42">IFERROR(IF(AND($B10&gt;0,$C10&gt;0,F40&gt;=$C$2+$D10,MOD(F40-$C$2-$D10,$C10)=0),$B10*(1+$B$76)^(F40-$C$2),0),0)</f>
        <v>0</v>
      </c>
      <c r="G45" s="137">
        <f t="shared" si="42"/>
        <v>0</v>
      </c>
      <c r="H45" s="137">
        <f t="shared" si="42"/>
        <v>0</v>
      </c>
      <c r="I45" s="137">
        <f t="shared" si="42"/>
        <v>0</v>
      </c>
      <c r="J45" s="137">
        <f t="shared" si="42"/>
        <v>0</v>
      </c>
      <c r="K45" s="137">
        <f t="shared" si="42"/>
        <v>0</v>
      </c>
      <c r="L45" s="137">
        <f t="shared" si="42"/>
        <v>0</v>
      </c>
      <c r="M45" s="137">
        <f t="shared" si="42"/>
        <v>0</v>
      </c>
      <c r="O45" s="129"/>
      <c r="P45" s="129"/>
      <c r="Q45" s="129"/>
      <c r="R45" s="129"/>
      <c r="S45" s="129"/>
      <c r="T45" s="129"/>
      <c r="U45" s="129"/>
    </row>
    <row r="46" spans="1:62" ht="14.4" customHeight="1" x14ac:dyDescent="0.25">
      <c r="A46" s="139">
        <f t="shared" si="36"/>
        <v>6</v>
      </c>
      <c r="B46" s="137">
        <f t="shared" si="36"/>
        <v>0</v>
      </c>
      <c r="C46" s="140">
        <f t="shared" si="36"/>
        <v>0</v>
      </c>
      <c r="D46" s="140">
        <f t="shared" si="36"/>
        <v>0</v>
      </c>
      <c r="E46" s="152" t="str">
        <f t="shared" si="37"/>
        <v/>
      </c>
      <c r="F46" s="137">
        <f t="shared" ref="F46:M46" si="43">IFERROR(IF(AND($B11&gt;0,$C11&gt;0,F40&gt;=$C$2+$D11,MOD(F40-$C$2-$D11,$C11)=0),$B11*(1+$B$76)^(F40-$C$2),0),0)</f>
        <v>0</v>
      </c>
      <c r="G46" s="137">
        <f t="shared" si="43"/>
        <v>0</v>
      </c>
      <c r="H46" s="137">
        <f t="shared" si="43"/>
        <v>0</v>
      </c>
      <c r="I46" s="137">
        <f t="shared" si="43"/>
        <v>0</v>
      </c>
      <c r="J46" s="137">
        <f t="shared" si="43"/>
        <v>0</v>
      </c>
      <c r="K46" s="137">
        <f t="shared" si="43"/>
        <v>0</v>
      </c>
      <c r="L46" s="137">
        <f t="shared" si="43"/>
        <v>0</v>
      </c>
      <c r="M46" s="137">
        <f t="shared" si="43"/>
        <v>0</v>
      </c>
      <c r="O46" s="129"/>
      <c r="P46" s="129"/>
      <c r="Q46" s="129"/>
      <c r="R46" s="129"/>
      <c r="S46" s="129"/>
      <c r="T46" s="129"/>
      <c r="U46" s="129"/>
    </row>
    <row r="47" spans="1:62" s="22" customFormat="1" ht="14.4" customHeight="1" x14ac:dyDescent="0.25">
      <c r="A47" s="139"/>
      <c r="B47" s="137"/>
      <c r="C47" s="140"/>
      <c r="D47" s="140"/>
      <c r="E47" s="140"/>
      <c r="F47" s="137"/>
      <c r="G47" s="137"/>
      <c r="H47" s="137"/>
      <c r="I47" s="137"/>
      <c r="J47" s="137"/>
      <c r="K47" s="137"/>
      <c r="L47" s="137"/>
      <c r="M47" s="137"/>
      <c r="O47" s="129"/>
      <c r="P47" s="129"/>
      <c r="Q47" s="129"/>
      <c r="R47" s="129"/>
      <c r="S47" s="129"/>
      <c r="T47" s="129"/>
      <c r="U47" s="129"/>
    </row>
    <row r="48" spans="1:62" ht="14.4" customHeight="1" x14ac:dyDescent="0.25">
      <c r="A48" s="129"/>
      <c r="B48" s="141"/>
      <c r="C48" s="140"/>
      <c r="D48" s="140"/>
      <c r="E48" s="140"/>
      <c r="F48" s="85"/>
      <c r="G48" s="85"/>
      <c r="H48" s="85"/>
      <c r="I48" s="85"/>
      <c r="J48" s="85"/>
      <c r="K48" s="85"/>
      <c r="L48" s="85"/>
      <c r="M48" s="85"/>
      <c r="O48" s="129"/>
      <c r="P48" s="129"/>
      <c r="Q48" s="129"/>
      <c r="R48" s="129"/>
      <c r="S48" s="129"/>
      <c r="T48" s="129"/>
      <c r="U48" s="129"/>
    </row>
    <row r="49" spans="1:70" ht="14.4" customHeight="1" x14ac:dyDescent="0.25">
      <c r="A49" s="129" t="str">
        <f>A30</f>
        <v>Beginning Cash Balance</v>
      </c>
      <c r="B49" s="153"/>
      <c r="C49" s="153"/>
      <c r="D49" s="153"/>
      <c r="E49" s="153"/>
      <c r="F49" s="140">
        <f>M34</f>
        <v>124814.63361477869</v>
      </c>
      <c r="G49" s="140">
        <f t="shared" ref="G49:M49" si="44">F53</f>
        <v>134814.63361477869</v>
      </c>
      <c r="H49" s="140">
        <f t="shared" si="44"/>
        <v>144814.63361477869</v>
      </c>
      <c r="I49" s="140">
        <f t="shared" si="44"/>
        <v>0</v>
      </c>
      <c r="J49" s="140">
        <f t="shared" si="44"/>
        <v>10000</v>
      </c>
      <c r="K49" s="140">
        <f t="shared" si="44"/>
        <v>20000</v>
      </c>
      <c r="L49" s="140">
        <f t="shared" si="44"/>
        <v>30000</v>
      </c>
      <c r="M49" s="140">
        <f t="shared" si="44"/>
        <v>0</v>
      </c>
      <c r="O49" s="129"/>
      <c r="P49" s="129"/>
      <c r="Q49" s="129"/>
      <c r="R49" s="129"/>
      <c r="S49" s="129"/>
      <c r="T49" s="129"/>
      <c r="U49" s="129"/>
    </row>
    <row r="50" spans="1:70" ht="14.4" customHeight="1" x14ac:dyDescent="0.3">
      <c r="A50" s="129" t="str">
        <f>A31</f>
        <v>Annual Reserve Contribution</v>
      </c>
      <c r="B50" s="153"/>
      <c r="C50" s="153"/>
      <c r="D50" s="153"/>
      <c r="E50" s="154"/>
      <c r="F50" s="142">
        <f>M31</f>
        <v>10000</v>
      </c>
      <c r="G50" s="142">
        <f t="shared" ref="G50:M50" si="45">F50</f>
        <v>10000</v>
      </c>
      <c r="H50" s="142">
        <f t="shared" si="45"/>
        <v>10000</v>
      </c>
      <c r="I50" s="142">
        <f t="shared" si="45"/>
        <v>10000</v>
      </c>
      <c r="J50" s="142">
        <f t="shared" si="45"/>
        <v>10000</v>
      </c>
      <c r="K50" s="142">
        <f t="shared" si="45"/>
        <v>10000</v>
      </c>
      <c r="L50" s="142">
        <f t="shared" si="45"/>
        <v>10000</v>
      </c>
      <c r="M50" s="142">
        <f t="shared" si="45"/>
        <v>10000</v>
      </c>
      <c r="N50" s="92"/>
      <c r="O50" s="129"/>
      <c r="P50" s="129"/>
      <c r="Q50" s="129"/>
      <c r="R50" s="129"/>
      <c r="S50" s="129"/>
      <c r="T50" s="129"/>
      <c r="U50" s="129"/>
    </row>
    <row r="51" spans="1:70" ht="14.4" customHeight="1" x14ac:dyDescent="0.3">
      <c r="A51" s="129" t="str">
        <f>A32</f>
        <v>Projected Shortfall to Next Funding Gap</v>
      </c>
      <c r="B51" s="153"/>
      <c r="C51" s="153"/>
      <c r="D51" s="153"/>
      <c r="E51" s="155"/>
      <c r="F51" s="145">
        <f t="shared" ref="F51:L51" si="46">IF(MAX(0,F52-F49-F50)&gt;0,MAX(0,F52-F49-F50),IF(G51&gt;0,G51+G50,0))</f>
        <v>4972484.550104931</v>
      </c>
      <c r="G51" s="145">
        <f t="shared" si="46"/>
        <v>4962484.550104931</v>
      </c>
      <c r="H51" s="145">
        <f t="shared" si="46"/>
        <v>4952484.550104931</v>
      </c>
      <c r="I51" s="145">
        <f t="shared" si="46"/>
        <v>325318.09655063658</v>
      </c>
      <c r="J51" s="145">
        <f t="shared" si="46"/>
        <v>315318.09655063658</v>
      </c>
      <c r="K51" s="145">
        <f t="shared" si="46"/>
        <v>305318.09655063658</v>
      </c>
      <c r="L51" s="145">
        <f t="shared" si="46"/>
        <v>295318.09655063658</v>
      </c>
      <c r="M51" s="145">
        <f>IF(MAX(0,M52-M49-M50)&gt;0,MAX(0,M52-M49-M50),IF(F67&gt;0,F67+F66,0))</f>
        <v>468083.42671360809</v>
      </c>
      <c r="N51" s="144"/>
      <c r="O51" s="129"/>
      <c r="P51" s="129"/>
      <c r="Q51" s="129"/>
      <c r="R51" s="129"/>
      <c r="S51" s="129"/>
      <c r="T51" s="129"/>
      <c r="U51" s="129"/>
    </row>
    <row r="52" spans="1:70" ht="14.4" customHeight="1" x14ac:dyDescent="0.25">
      <c r="A52" s="129" t="str">
        <f>A33</f>
        <v>Total Expenditures</v>
      </c>
      <c r="B52" s="153"/>
      <c r="C52" s="153"/>
      <c r="D52" s="153"/>
      <c r="E52" s="153"/>
      <c r="F52" s="140">
        <f t="shared" ref="F52:M52" si="47">SUM(F41:F46)</f>
        <v>0</v>
      </c>
      <c r="G52" s="140">
        <f t="shared" si="47"/>
        <v>0</v>
      </c>
      <c r="H52" s="140">
        <f t="shared" si="47"/>
        <v>5107299.1837197095</v>
      </c>
      <c r="I52" s="140">
        <f t="shared" si="47"/>
        <v>0</v>
      </c>
      <c r="J52" s="140">
        <f t="shared" si="47"/>
        <v>0</v>
      </c>
      <c r="K52" s="140">
        <f t="shared" si="47"/>
        <v>0</v>
      </c>
      <c r="L52" s="140">
        <f t="shared" si="47"/>
        <v>335318.09655063658</v>
      </c>
      <c r="M52" s="140">
        <f t="shared" si="47"/>
        <v>0</v>
      </c>
      <c r="O52" s="129"/>
      <c r="P52" s="129"/>
      <c r="Q52" s="129"/>
      <c r="R52" s="129"/>
      <c r="S52" s="129"/>
      <c r="T52" s="129"/>
      <c r="U52" s="129"/>
    </row>
    <row r="53" spans="1:70" ht="14.4" customHeight="1" x14ac:dyDescent="0.25">
      <c r="A53" s="129" t="str">
        <f>A34</f>
        <v>Ending Cash (Assumes Gap Funded)</v>
      </c>
      <c r="B53" s="153"/>
      <c r="C53" s="153"/>
      <c r="D53" s="153"/>
      <c r="E53" s="154"/>
      <c r="F53" s="142">
        <f t="shared" ref="F53:M53" si="48">F49+F50+MAX(0,F52-F49-F50)-F52</f>
        <v>134814.63361477869</v>
      </c>
      <c r="G53" s="142">
        <f t="shared" si="48"/>
        <v>144814.63361477869</v>
      </c>
      <c r="H53" s="142">
        <f t="shared" si="48"/>
        <v>0</v>
      </c>
      <c r="I53" s="142">
        <f t="shared" si="48"/>
        <v>10000</v>
      </c>
      <c r="J53" s="142">
        <f t="shared" si="48"/>
        <v>20000</v>
      </c>
      <c r="K53" s="142">
        <f t="shared" si="48"/>
        <v>30000</v>
      </c>
      <c r="L53" s="142">
        <f t="shared" si="48"/>
        <v>0</v>
      </c>
      <c r="M53" s="142">
        <f t="shared" si="48"/>
        <v>10000</v>
      </c>
      <c r="O53" s="129"/>
      <c r="P53" s="129"/>
      <c r="Q53" s="129"/>
      <c r="R53" s="129"/>
      <c r="S53" s="129"/>
      <c r="T53" s="129"/>
      <c r="U53" s="129"/>
    </row>
    <row r="54" spans="1:70" ht="14.4" customHeight="1" x14ac:dyDescent="0.25">
      <c r="A54" s="156"/>
      <c r="B54" s="94"/>
      <c r="C54" s="94"/>
      <c r="D54" s="94"/>
      <c r="E54" s="94"/>
      <c r="F54" s="157"/>
      <c r="G54" s="157"/>
      <c r="H54" s="157"/>
      <c r="I54" s="157"/>
      <c r="J54" s="157"/>
      <c r="K54" s="157"/>
      <c r="L54" s="157"/>
      <c r="M54" s="157"/>
      <c r="N54" s="129"/>
      <c r="O54" s="129"/>
      <c r="P54" s="129"/>
      <c r="Q54" s="129"/>
      <c r="R54" s="129"/>
      <c r="S54" s="129"/>
      <c r="T54" s="129"/>
      <c r="U54" s="129"/>
      <c r="V54" s="129"/>
      <c r="W54" s="129"/>
      <c r="X54" s="129"/>
      <c r="Y54" s="129"/>
      <c r="Z54" s="129"/>
      <c r="AA54" s="129"/>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9"/>
      <c r="BR54" s="79"/>
    </row>
    <row r="55" spans="1:70" ht="14.4" customHeight="1" x14ac:dyDescent="0.25">
      <c r="O55" s="129"/>
      <c r="P55" s="129"/>
      <c r="Q55" s="129"/>
      <c r="R55" s="129"/>
      <c r="S55" s="129"/>
      <c r="T55" s="129"/>
      <c r="U55" s="129"/>
    </row>
    <row r="56" spans="1:70" ht="27.6" customHeight="1" x14ac:dyDescent="0.3">
      <c r="A56" s="132" t="str">
        <f t="shared" ref="A56:D62" si="49">A40</f>
        <v>Category</v>
      </c>
      <c r="B56" s="130" t="str">
        <f t="shared" si="49"/>
        <v>Replacement Cost</v>
      </c>
      <c r="C56" s="130" t="str">
        <f t="shared" si="49"/>
        <v>Useful Life</v>
      </c>
      <c r="D56" s="130" t="str">
        <f t="shared" si="49"/>
        <v>Remaining Life</v>
      </c>
      <c r="E56" s="130" t="s">
        <v>11</v>
      </c>
      <c r="F56" s="133">
        <f>$C$2+24</f>
        <v>2051</v>
      </c>
      <c r="G56" s="133">
        <f>$C$2+25</f>
        <v>2052</v>
      </c>
      <c r="H56" s="133">
        <f>$C$2+26</f>
        <v>2053</v>
      </c>
      <c r="I56" s="133">
        <f>$C$2+27</f>
        <v>2054</v>
      </c>
      <c r="J56" s="133">
        <f>$C$2+28</f>
        <v>2055</v>
      </c>
      <c r="K56" s="133">
        <f>$C$2+29</f>
        <v>2056</v>
      </c>
      <c r="L56" s="133">
        <f>$C$2+30</f>
        <v>2057</v>
      </c>
      <c r="M56" s="133">
        <f>$C$2+31</f>
        <v>2058</v>
      </c>
    </row>
    <row r="57" spans="1:70" ht="14.4" customHeight="1" x14ac:dyDescent="0.25">
      <c r="A57" s="147" t="str">
        <f t="shared" si="49"/>
        <v>Roof- Replacement</v>
      </c>
      <c r="B57" s="137">
        <f t="shared" si="49"/>
        <v>3000000</v>
      </c>
      <c r="C57" s="140">
        <f t="shared" si="49"/>
        <v>20</v>
      </c>
      <c r="D57" s="140">
        <f t="shared" si="49"/>
        <v>18</v>
      </c>
      <c r="E57" s="152">
        <f t="shared" ref="E57:E62" si="50">E6</f>
        <v>2045</v>
      </c>
      <c r="F57" s="137">
        <f t="shared" ref="F57:M57" si="51">IFERROR(IF(AND($B6&gt;0,$C6&gt;0,F56&gt;=$C$2+$D6,MOD(F56-$C$2-$D6,$C6)=0),$B6*(1+$B$76)^(F56-$C$2),0),0)</f>
        <v>0</v>
      </c>
      <c r="G57" s="137">
        <f t="shared" si="51"/>
        <v>0</v>
      </c>
      <c r="H57" s="137">
        <f t="shared" si="51"/>
        <v>0</v>
      </c>
      <c r="I57" s="137">
        <f t="shared" si="51"/>
        <v>0</v>
      </c>
      <c r="J57" s="137">
        <f t="shared" si="51"/>
        <v>0</v>
      </c>
      <c r="K57" s="137">
        <f t="shared" si="51"/>
        <v>0</v>
      </c>
      <c r="L57" s="137">
        <f t="shared" si="51"/>
        <v>0</v>
      </c>
      <c r="M57" s="137">
        <f t="shared" si="51"/>
        <v>0</v>
      </c>
    </row>
    <row r="58" spans="1:70" x14ac:dyDescent="0.25">
      <c r="A58" s="147" t="str">
        <f t="shared" si="49"/>
        <v>Buildings - Repaint</v>
      </c>
      <c r="B58" s="137">
        <f t="shared" si="49"/>
        <v>175000</v>
      </c>
      <c r="C58" s="140">
        <f t="shared" si="49"/>
        <v>12</v>
      </c>
      <c r="D58" s="140">
        <f t="shared" si="49"/>
        <v>10</v>
      </c>
      <c r="E58" s="152">
        <f t="shared" si="50"/>
        <v>2037</v>
      </c>
      <c r="F58" s="137">
        <f t="shared" ref="F58:M58" si="52">IFERROR(IF(AND($B7&gt;0,$C7&gt;0,F56&gt;=$C$2+$D7,MOD(F56-$C$2-$D7,$C7)=0),$B7*(1+$B$76)^(F56-$C$2),0),0)</f>
        <v>0</v>
      </c>
      <c r="G58" s="137">
        <f t="shared" si="52"/>
        <v>0</v>
      </c>
      <c r="H58" s="137">
        <f t="shared" si="52"/>
        <v>0</v>
      </c>
      <c r="I58" s="137">
        <f t="shared" si="52"/>
        <v>0</v>
      </c>
      <c r="J58" s="137">
        <f t="shared" si="52"/>
        <v>0</v>
      </c>
      <c r="K58" s="137">
        <f t="shared" si="52"/>
        <v>0</v>
      </c>
      <c r="L58" s="137">
        <f t="shared" si="52"/>
        <v>0</v>
      </c>
      <c r="M58" s="137">
        <f t="shared" si="52"/>
        <v>0</v>
      </c>
    </row>
    <row r="59" spans="1:70" x14ac:dyDescent="0.25">
      <c r="A59" s="139">
        <f t="shared" si="49"/>
        <v>3</v>
      </c>
      <c r="B59" s="137">
        <f t="shared" si="49"/>
        <v>0</v>
      </c>
      <c r="C59" s="140">
        <f t="shared" si="49"/>
        <v>0</v>
      </c>
      <c r="D59" s="140">
        <f t="shared" si="49"/>
        <v>0</v>
      </c>
      <c r="E59" s="152" t="str">
        <f t="shared" si="50"/>
        <v/>
      </c>
      <c r="F59" s="137">
        <f t="shared" ref="F59:M59" si="53">IFERROR(IF(AND($B8&gt;0,$C8&gt;0,F56&gt;=$C$2+$D8,MOD(F56-$C$2-$D8,$C8)=0),$B8*(1+$B$76)^(F56-$C$2),0),0)</f>
        <v>0</v>
      </c>
      <c r="G59" s="137">
        <f t="shared" si="53"/>
        <v>0</v>
      </c>
      <c r="H59" s="137">
        <f t="shared" si="53"/>
        <v>0</v>
      </c>
      <c r="I59" s="137">
        <f t="shared" si="53"/>
        <v>0</v>
      </c>
      <c r="J59" s="137">
        <f t="shared" si="53"/>
        <v>0</v>
      </c>
      <c r="K59" s="137">
        <f t="shared" si="53"/>
        <v>0</v>
      </c>
      <c r="L59" s="137">
        <f t="shared" si="53"/>
        <v>0</v>
      </c>
      <c r="M59" s="137">
        <f t="shared" si="53"/>
        <v>0</v>
      </c>
    </row>
    <row r="60" spans="1:70" x14ac:dyDescent="0.25">
      <c r="A60" s="139">
        <f t="shared" si="49"/>
        <v>4</v>
      </c>
      <c r="B60" s="137">
        <f t="shared" si="49"/>
        <v>0</v>
      </c>
      <c r="C60" s="140">
        <f t="shared" si="49"/>
        <v>0</v>
      </c>
      <c r="D60" s="140">
        <f t="shared" si="49"/>
        <v>0</v>
      </c>
      <c r="E60" s="152" t="str">
        <f t="shared" si="50"/>
        <v/>
      </c>
      <c r="F60" s="137">
        <f t="shared" ref="F60:M60" si="54">IFERROR(IF(AND($B9&gt;0,$C9&gt;0,F56&gt;=$C$2+$D9,MOD(F56-$C$2-$D9,$C9)=0),$B9*(1+$B$76)^(F56-$C$2),0),0)</f>
        <v>0</v>
      </c>
      <c r="G60" s="137">
        <f t="shared" si="54"/>
        <v>0</v>
      </c>
      <c r="H60" s="137">
        <f t="shared" si="54"/>
        <v>0</v>
      </c>
      <c r="I60" s="137">
        <f t="shared" si="54"/>
        <v>0</v>
      </c>
      <c r="J60" s="137">
        <f t="shared" si="54"/>
        <v>0</v>
      </c>
      <c r="K60" s="137">
        <f t="shared" si="54"/>
        <v>0</v>
      </c>
      <c r="L60" s="137">
        <f t="shared" si="54"/>
        <v>0</v>
      </c>
      <c r="M60" s="137">
        <f t="shared" si="54"/>
        <v>0</v>
      </c>
    </row>
    <row r="61" spans="1:70" x14ac:dyDescent="0.25">
      <c r="A61" s="139">
        <f t="shared" si="49"/>
        <v>5</v>
      </c>
      <c r="B61" s="137">
        <f t="shared" si="49"/>
        <v>0</v>
      </c>
      <c r="C61" s="140">
        <f t="shared" si="49"/>
        <v>0</v>
      </c>
      <c r="D61" s="140">
        <f t="shared" si="49"/>
        <v>0</v>
      </c>
      <c r="E61" s="152" t="str">
        <f t="shared" si="50"/>
        <v/>
      </c>
      <c r="F61" s="137">
        <f t="shared" ref="F61:M61" si="55">IFERROR(IF(AND($B10&gt;0,$C10&gt;0,F56&gt;=$C$2+$D10,MOD(F56-$C$2-$D10,$C10)=0),$B10*(1+$B$76)^(F56-$C$2),0),0)</f>
        <v>0</v>
      </c>
      <c r="G61" s="137">
        <f t="shared" si="55"/>
        <v>0</v>
      </c>
      <c r="H61" s="137">
        <f t="shared" si="55"/>
        <v>0</v>
      </c>
      <c r="I61" s="137">
        <f t="shared" si="55"/>
        <v>0</v>
      </c>
      <c r="J61" s="137">
        <f t="shared" si="55"/>
        <v>0</v>
      </c>
      <c r="K61" s="137">
        <f t="shared" si="55"/>
        <v>0</v>
      </c>
      <c r="L61" s="137">
        <f t="shared" si="55"/>
        <v>0</v>
      </c>
      <c r="M61" s="137">
        <f t="shared" si="55"/>
        <v>0</v>
      </c>
    </row>
    <row r="62" spans="1:70" x14ac:dyDescent="0.25">
      <c r="A62" s="139">
        <f t="shared" si="49"/>
        <v>6</v>
      </c>
      <c r="B62" s="137">
        <f t="shared" si="49"/>
        <v>0</v>
      </c>
      <c r="C62" s="140">
        <f t="shared" si="49"/>
        <v>0</v>
      </c>
      <c r="D62" s="140">
        <f t="shared" si="49"/>
        <v>0</v>
      </c>
      <c r="E62" s="152" t="str">
        <f t="shared" si="50"/>
        <v/>
      </c>
      <c r="F62" s="137">
        <f t="shared" ref="F62:M62" si="56">IFERROR(IF(AND($B11&gt;0,$C11&gt;0,F56&gt;=$C$2+$D11,MOD(F56-$C$2-$D11,$C11)=0),$B11*(1+$B$76)^(F56-$C$2),0),0)</f>
        <v>0</v>
      </c>
      <c r="G62" s="137">
        <f t="shared" si="56"/>
        <v>0</v>
      </c>
      <c r="H62" s="137">
        <f t="shared" si="56"/>
        <v>0</v>
      </c>
      <c r="I62" s="137">
        <f t="shared" si="56"/>
        <v>0</v>
      </c>
      <c r="J62" s="137">
        <f t="shared" si="56"/>
        <v>0</v>
      </c>
      <c r="K62" s="137">
        <f t="shared" si="56"/>
        <v>0</v>
      </c>
      <c r="L62" s="137">
        <f t="shared" si="56"/>
        <v>0</v>
      </c>
      <c r="M62" s="137">
        <f t="shared" si="56"/>
        <v>0</v>
      </c>
    </row>
    <row r="63" spans="1:70" s="22" customFormat="1" x14ac:dyDescent="0.25">
      <c r="A63" s="139"/>
      <c r="B63" s="137"/>
      <c r="C63" s="140"/>
      <c r="D63" s="140"/>
      <c r="E63" s="140"/>
      <c r="F63" s="137"/>
      <c r="G63" s="137"/>
      <c r="H63" s="137"/>
      <c r="I63" s="137"/>
      <c r="J63" s="137"/>
      <c r="K63" s="137"/>
      <c r="L63" s="137"/>
      <c r="M63" s="137"/>
    </row>
    <row r="64" spans="1:70" x14ac:dyDescent="0.25">
      <c r="A64" s="129"/>
      <c r="B64" s="141"/>
      <c r="C64" s="140"/>
      <c r="D64" s="140"/>
      <c r="E64" s="140"/>
      <c r="F64" s="85"/>
      <c r="G64" s="85"/>
      <c r="H64" s="85"/>
      <c r="I64" s="85"/>
      <c r="J64" s="85"/>
      <c r="K64" s="85"/>
      <c r="L64" s="85"/>
      <c r="M64" s="85"/>
    </row>
    <row r="65" spans="1:23" x14ac:dyDescent="0.25">
      <c r="A65" s="129" t="str">
        <f>A49</f>
        <v>Beginning Cash Balance</v>
      </c>
      <c r="B65" s="153"/>
      <c r="C65" s="153"/>
      <c r="D65" s="153"/>
      <c r="E65" s="153"/>
      <c r="F65" s="140">
        <f>M53</f>
        <v>10000</v>
      </c>
      <c r="G65" s="140">
        <f t="shared" ref="G65:M65" si="57">F69</f>
        <v>20000</v>
      </c>
      <c r="H65" s="140">
        <f t="shared" si="57"/>
        <v>30000</v>
      </c>
      <c r="I65" s="140">
        <f t="shared" si="57"/>
        <v>40000</v>
      </c>
      <c r="J65" s="140">
        <f t="shared" si="57"/>
        <v>50000</v>
      </c>
      <c r="K65" s="140">
        <f t="shared" si="57"/>
        <v>60000</v>
      </c>
      <c r="L65" s="140">
        <f t="shared" si="57"/>
        <v>70000</v>
      </c>
      <c r="M65" s="140">
        <f t="shared" si="57"/>
        <v>80000</v>
      </c>
    </row>
    <row r="66" spans="1:23" x14ac:dyDescent="0.25">
      <c r="A66" s="129" t="str">
        <f>A50</f>
        <v>Annual Reserve Contribution</v>
      </c>
      <c r="B66" s="153"/>
      <c r="C66" s="153"/>
      <c r="D66" s="153"/>
      <c r="E66" s="154"/>
      <c r="F66" s="142">
        <f>M50</f>
        <v>10000</v>
      </c>
      <c r="G66" s="142">
        <f t="shared" ref="G66:M66" si="58">F66</f>
        <v>10000</v>
      </c>
      <c r="H66" s="142">
        <f t="shared" si="58"/>
        <v>10000</v>
      </c>
      <c r="I66" s="142">
        <f t="shared" si="58"/>
        <v>10000</v>
      </c>
      <c r="J66" s="142">
        <f t="shared" si="58"/>
        <v>10000</v>
      </c>
      <c r="K66" s="142">
        <f t="shared" si="58"/>
        <v>10000</v>
      </c>
      <c r="L66" s="142">
        <f t="shared" si="58"/>
        <v>10000</v>
      </c>
      <c r="M66" s="142">
        <f t="shared" si="58"/>
        <v>10000</v>
      </c>
    </row>
    <row r="67" spans="1:23" x14ac:dyDescent="0.25">
      <c r="A67" s="129" t="str">
        <f>A51</f>
        <v>Projected Shortfall to Next Funding Gap</v>
      </c>
      <c r="B67" s="153"/>
      <c r="C67" s="153"/>
      <c r="D67" s="153"/>
      <c r="E67" s="153"/>
      <c r="F67" s="140">
        <f t="shared" ref="F67:L67" si="59">IF(MAX(0,F68-F65-F66)&gt;0,MAX(0,F68-F65-F66),IF(G67&gt;0,G67+G66,0))</f>
        <v>458083.42671360809</v>
      </c>
      <c r="G67" s="140">
        <f t="shared" si="59"/>
        <v>448083.42671360809</v>
      </c>
      <c r="H67" s="140">
        <f t="shared" si="59"/>
        <v>438083.42671360809</v>
      </c>
      <c r="I67" s="140">
        <f t="shared" si="59"/>
        <v>428083.42671360809</v>
      </c>
      <c r="J67" s="140">
        <f t="shared" si="59"/>
        <v>418083.42671360809</v>
      </c>
      <c r="K67" s="140">
        <f t="shared" si="59"/>
        <v>408083.42671360809</v>
      </c>
      <c r="L67" s="140">
        <f t="shared" si="59"/>
        <v>398083.42671360809</v>
      </c>
      <c r="M67" s="140">
        <f>IF(MAX(0,M68-M65-M66)&gt;0,MAX(0,M68-M65-M66),IF(AD32&gt;0,AD32+AD31,0))</f>
        <v>388083.42671360809</v>
      </c>
    </row>
    <row r="68" spans="1:23" x14ac:dyDescent="0.25">
      <c r="A68" s="129" t="str">
        <f>A52</f>
        <v>Total Expenditures</v>
      </c>
      <c r="B68" s="153"/>
      <c r="C68" s="153"/>
      <c r="D68" s="153"/>
      <c r="E68" s="153"/>
      <c r="F68" s="140">
        <f t="shared" ref="F68:M68" si="60">SUM(F57:F62)</f>
        <v>0</v>
      </c>
      <c r="G68" s="140">
        <f t="shared" si="60"/>
        <v>0</v>
      </c>
      <c r="H68" s="140">
        <f t="shared" si="60"/>
        <v>0</v>
      </c>
      <c r="I68" s="140">
        <f t="shared" si="60"/>
        <v>0</v>
      </c>
      <c r="J68" s="140">
        <f t="shared" si="60"/>
        <v>0</v>
      </c>
      <c r="K68" s="140">
        <f t="shared" si="60"/>
        <v>0</v>
      </c>
      <c r="L68" s="140">
        <f t="shared" si="60"/>
        <v>0</v>
      </c>
      <c r="M68" s="140">
        <f t="shared" si="60"/>
        <v>0</v>
      </c>
    </row>
    <row r="69" spans="1:23" x14ac:dyDescent="0.25">
      <c r="A69" s="129" t="str">
        <f>A53</f>
        <v>Ending Cash (Assumes Gap Funded)</v>
      </c>
      <c r="B69" s="153"/>
      <c r="C69" s="153"/>
      <c r="D69" s="153"/>
      <c r="E69" s="154"/>
      <c r="F69" s="142">
        <f t="shared" ref="F69:M69" si="61">F65+F66+MAX(0,F68-F65-F66)-F68</f>
        <v>20000</v>
      </c>
      <c r="G69" s="142">
        <f t="shared" si="61"/>
        <v>30000</v>
      </c>
      <c r="H69" s="142">
        <f t="shared" si="61"/>
        <v>40000</v>
      </c>
      <c r="I69" s="142">
        <f t="shared" si="61"/>
        <v>50000</v>
      </c>
      <c r="J69" s="142">
        <f t="shared" si="61"/>
        <v>60000</v>
      </c>
      <c r="K69" s="142">
        <f t="shared" si="61"/>
        <v>70000</v>
      </c>
      <c r="L69" s="142">
        <f t="shared" si="61"/>
        <v>80000</v>
      </c>
      <c r="M69" s="142">
        <f t="shared" si="61"/>
        <v>90000</v>
      </c>
      <c r="N69" s="158"/>
    </row>
    <row r="70" spans="1:23" x14ac:dyDescent="0.3">
      <c r="N70" s="158"/>
    </row>
    <row r="71" spans="1:23" ht="14.4" customHeight="1" x14ac:dyDescent="0.3">
      <c r="A71" s="159"/>
      <c r="B71" s="159"/>
      <c r="C71" s="159"/>
      <c r="D71" s="159"/>
      <c r="E71" s="159"/>
      <c r="F71" s="159"/>
      <c r="G71" s="159"/>
      <c r="H71" s="159"/>
      <c r="I71" s="159"/>
      <c r="J71" s="159"/>
      <c r="K71" s="159"/>
      <c r="L71" s="159"/>
      <c r="M71" s="159"/>
      <c r="N71" s="158"/>
    </row>
    <row r="72" spans="1:23" ht="14.4" customHeight="1" x14ac:dyDescent="0.3">
      <c r="N72" s="158"/>
    </row>
    <row r="73" spans="1:23" ht="14.4" customHeight="1" x14ac:dyDescent="0.3">
      <c r="N73" s="158"/>
    </row>
    <row r="74" spans="1:23" ht="14.4" customHeight="1" x14ac:dyDescent="0.3">
      <c r="D74" s="160">
        <f>C2</f>
        <v>2027</v>
      </c>
      <c r="E74" s="133">
        <f t="shared" ref="E74:M74" si="62">D74+1</f>
        <v>2028</v>
      </c>
      <c r="F74" s="133">
        <f t="shared" si="62"/>
        <v>2029</v>
      </c>
      <c r="G74" s="133">
        <f t="shared" si="62"/>
        <v>2030</v>
      </c>
      <c r="H74" s="133">
        <f t="shared" si="62"/>
        <v>2031</v>
      </c>
      <c r="I74" s="133">
        <f t="shared" si="62"/>
        <v>2032</v>
      </c>
      <c r="J74" s="133">
        <f t="shared" si="62"/>
        <v>2033</v>
      </c>
      <c r="K74" s="133">
        <f t="shared" si="62"/>
        <v>2034</v>
      </c>
      <c r="L74" s="133">
        <f t="shared" si="62"/>
        <v>2035</v>
      </c>
      <c r="M74" s="133">
        <f t="shared" si="62"/>
        <v>2036</v>
      </c>
      <c r="N74" s="158"/>
    </row>
    <row r="75" spans="1:23" s="107" customFormat="1" ht="14.4" customHeight="1" x14ac:dyDescent="0.2">
      <c r="A75" s="183" t="s">
        <v>19</v>
      </c>
      <c r="B75" s="184"/>
      <c r="C75" s="184"/>
      <c r="D75" s="182">
        <f>B22</f>
        <v>3000000</v>
      </c>
      <c r="E75" s="161">
        <f t="shared" ref="E75:M75" si="63">(D75*$B$76)+D75</f>
        <v>3090000</v>
      </c>
      <c r="F75" s="161">
        <f t="shared" si="63"/>
        <v>3182700</v>
      </c>
      <c r="G75" s="161">
        <f t="shared" si="63"/>
        <v>3278181</v>
      </c>
      <c r="H75" s="161">
        <f t="shared" si="63"/>
        <v>3376526.43</v>
      </c>
      <c r="I75" s="161">
        <f t="shared" si="63"/>
        <v>3477822.2229000004</v>
      </c>
      <c r="J75" s="161">
        <f t="shared" si="63"/>
        <v>3582156.8895870005</v>
      </c>
      <c r="K75" s="161">
        <f t="shared" si="63"/>
        <v>3689621.5962746106</v>
      </c>
      <c r="L75" s="161">
        <f t="shared" si="63"/>
        <v>3800310.2441628492</v>
      </c>
      <c r="M75" s="161">
        <f t="shared" si="63"/>
        <v>3914319.5514877345</v>
      </c>
      <c r="N75" s="158"/>
      <c r="O75" s="43"/>
      <c r="P75" s="43"/>
      <c r="Q75" s="43"/>
      <c r="R75" s="43"/>
      <c r="S75" s="43"/>
      <c r="T75" s="43"/>
      <c r="U75" s="43"/>
      <c r="V75" s="43"/>
      <c r="W75" s="43"/>
    </row>
    <row r="76" spans="1:23" s="107" customFormat="1" x14ac:dyDescent="0.2">
      <c r="B76" s="163">
        <v>0.03</v>
      </c>
      <c r="D76" s="182">
        <f>B7</f>
        <v>175000</v>
      </c>
      <c r="E76" s="161">
        <f t="shared" ref="E76:M76" si="64">(D76*$B$76)+D76</f>
        <v>180250</v>
      </c>
      <c r="F76" s="161">
        <f t="shared" si="64"/>
        <v>185657.5</v>
      </c>
      <c r="G76" s="161">
        <f t="shared" si="64"/>
        <v>191227.22500000001</v>
      </c>
      <c r="H76" s="161">
        <f t="shared" si="64"/>
        <v>196964.04175</v>
      </c>
      <c r="I76" s="161">
        <f t="shared" si="64"/>
        <v>202872.96300250001</v>
      </c>
      <c r="J76" s="161">
        <f t="shared" si="64"/>
        <v>208959.151892575</v>
      </c>
      <c r="K76" s="161">
        <f t="shared" si="64"/>
        <v>215227.92644935224</v>
      </c>
      <c r="L76" s="161">
        <f t="shared" si="64"/>
        <v>221684.76424283281</v>
      </c>
      <c r="M76" s="161">
        <f t="shared" si="64"/>
        <v>228335.3071701178</v>
      </c>
      <c r="N76" s="158"/>
      <c r="O76" s="43"/>
      <c r="P76" s="43"/>
      <c r="Q76" s="43"/>
      <c r="R76" s="43"/>
      <c r="S76" s="43"/>
      <c r="T76" s="43"/>
      <c r="U76" s="43"/>
      <c r="V76" s="43"/>
      <c r="W76" s="43"/>
    </row>
    <row r="77" spans="1:23" s="107" customFormat="1" x14ac:dyDescent="0.2">
      <c r="D77" s="161"/>
      <c r="E77" s="161"/>
      <c r="F77" s="161"/>
      <c r="G77" s="161"/>
      <c r="H77" s="161"/>
      <c r="I77" s="161"/>
      <c r="J77" s="161"/>
      <c r="K77" s="161"/>
      <c r="L77" s="161"/>
      <c r="M77" s="161"/>
      <c r="N77" s="158"/>
      <c r="O77" s="43"/>
      <c r="P77" s="43"/>
      <c r="Q77" s="43"/>
      <c r="R77" s="43"/>
      <c r="S77" s="43"/>
      <c r="T77" s="43"/>
      <c r="U77" s="43"/>
      <c r="V77" s="43"/>
      <c r="W77" s="43"/>
    </row>
    <row r="78" spans="1:23" s="107" customFormat="1" ht="14.4" customHeight="1" x14ac:dyDescent="0.25">
      <c r="B78" s="160">
        <f>M74+1</f>
        <v>2037</v>
      </c>
      <c r="C78" s="160">
        <f t="shared" ref="C78:K78" si="65">B78+1</f>
        <v>2038</v>
      </c>
      <c r="D78" s="160">
        <f t="shared" si="65"/>
        <v>2039</v>
      </c>
      <c r="E78" s="160">
        <f t="shared" si="65"/>
        <v>2040</v>
      </c>
      <c r="F78" s="160">
        <f t="shared" si="65"/>
        <v>2041</v>
      </c>
      <c r="G78" s="160">
        <f t="shared" si="65"/>
        <v>2042</v>
      </c>
      <c r="H78" s="160">
        <f t="shared" si="65"/>
        <v>2043</v>
      </c>
      <c r="I78" s="160">
        <f t="shared" si="65"/>
        <v>2044</v>
      </c>
      <c r="J78" s="160">
        <f t="shared" si="65"/>
        <v>2045</v>
      </c>
      <c r="K78" s="160">
        <f t="shared" si="65"/>
        <v>2046</v>
      </c>
      <c r="O78" s="129"/>
      <c r="P78" s="129"/>
      <c r="Q78" s="129"/>
      <c r="R78" s="129"/>
      <c r="S78" s="162"/>
      <c r="T78" s="162"/>
      <c r="U78" s="162"/>
    </row>
    <row r="79" spans="1:23" x14ac:dyDescent="0.2">
      <c r="B79" s="161">
        <f>(M75*$B$76)+M75</f>
        <v>4031749.1380323665</v>
      </c>
      <c r="C79" s="161">
        <f t="shared" ref="C79:K79" si="66">(B79*$B$76)+B79</f>
        <v>4152701.6121733375</v>
      </c>
      <c r="D79" s="161">
        <f t="shared" si="66"/>
        <v>4277282.6605385374</v>
      </c>
      <c r="E79" s="161">
        <f t="shared" si="66"/>
        <v>4405601.1403546939</v>
      </c>
      <c r="F79" s="161">
        <f t="shared" si="66"/>
        <v>4537769.1745653348</v>
      </c>
      <c r="G79" s="161">
        <f t="shared" si="66"/>
        <v>4673902.2498022951</v>
      </c>
      <c r="H79" s="161">
        <f t="shared" si="66"/>
        <v>4814119.3172963643</v>
      </c>
      <c r="I79" s="161">
        <f t="shared" si="66"/>
        <v>4958542.8968152553</v>
      </c>
      <c r="J79" s="161">
        <f t="shared" si="66"/>
        <v>5107299.1837197132</v>
      </c>
      <c r="K79" s="164">
        <f t="shared" si="66"/>
        <v>5260518.1592313042</v>
      </c>
    </row>
    <row r="80" spans="1:23" x14ac:dyDescent="0.2">
      <c r="B80" s="161">
        <f>(M76*$B$76)+M76</f>
        <v>235185.36638522134</v>
      </c>
      <c r="C80" s="161">
        <f>(B80*$B$76)+B80</f>
        <v>242240.92737677798</v>
      </c>
      <c r="D80" s="107"/>
      <c r="E80" s="107"/>
      <c r="F80" s="107"/>
      <c r="G80" s="107"/>
      <c r="H80" s="107"/>
      <c r="I80" s="107"/>
      <c r="J80" s="107"/>
      <c r="K80" s="107"/>
    </row>
    <row r="81" spans="2:11" x14ac:dyDescent="0.2">
      <c r="B81" s="161"/>
      <c r="C81" s="161"/>
      <c r="D81" s="107"/>
      <c r="E81" s="107"/>
      <c r="F81" s="107"/>
      <c r="G81" s="107"/>
      <c r="H81" s="107"/>
      <c r="I81" s="107"/>
      <c r="J81" s="107"/>
      <c r="K81" s="107"/>
    </row>
    <row r="82" spans="2:11" ht="14.4" customHeight="1" x14ac:dyDescent="0.3"/>
    <row r="83" spans="2:11" ht="14.4" customHeight="1" x14ac:dyDescent="0.3"/>
    <row r="84" spans="2:11" ht="14.4" customHeight="1" x14ac:dyDescent="0.3"/>
    <row r="85" spans="2:11" ht="14.4" customHeight="1" x14ac:dyDescent="0.3"/>
    <row r="86" spans="2:11" ht="14.4" customHeight="1" x14ac:dyDescent="0.3"/>
    <row r="87" spans="2:11" ht="14.4" customHeight="1" x14ac:dyDescent="0.3"/>
    <row r="88" spans="2:11" ht="14.4" customHeight="1" x14ac:dyDescent="0.3"/>
    <row r="89" spans="2:11" ht="14.4" customHeight="1" x14ac:dyDescent="0.3"/>
    <row r="90" spans="2:11" ht="14.4" customHeight="1" x14ac:dyDescent="0.3"/>
    <row r="91" spans="2:11" ht="14.4" customHeight="1" x14ac:dyDescent="0.3"/>
    <row r="92" spans="2:11" ht="14.4" customHeight="1" x14ac:dyDescent="0.3"/>
    <row r="93" spans="2:11" ht="14.4" customHeight="1" x14ac:dyDescent="0.3"/>
    <row r="94" spans="2:11" ht="14.4" customHeight="1" x14ac:dyDescent="0.3"/>
    <row r="95" spans="2:11" ht="14.4" customHeight="1" x14ac:dyDescent="0.3"/>
  </sheetData>
  <sheetProtection sheet="1"/>
  <mergeCells count="4">
    <mergeCell ref="A75:C75"/>
    <mergeCell ref="G37:J37"/>
    <mergeCell ref="I2:J2"/>
    <mergeCell ref="F3:L3"/>
  </mergeCells>
  <dataValidations count="4">
    <dataValidation type="whole" operator="greaterThan" allowBlank="1" showErrorMessage="1" error="Enter a valid nonnegative value; useful life must be greater than zero." sqref="C6:C11" xr:uid="{00000000-0002-0000-0300-000000000000}">
      <formula1>0</formula1>
    </dataValidation>
    <dataValidation type="whole" operator="greaterThanOrEqual" allowBlank="1" showErrorMessage="1" error="Enter a valid nonnegative value; useful life must be greater than zero." sqref="D6:D11" xr:uid="{00000000-0002-0000-0300-000001000000}">
      <formula1>0</formula1>
    </dataValidation>
    <dataValidation type="decimal" operator="greaterThanOrEqual" allowBlank="1" showErrorMessage="1" error="Enter a valid nonnegative value; useful life must be greater than zero." sqref="B6:B11" xr:uid="{00000000-0002-0000-0300-000002000000}">
      <formula1>0</formula1>
    </dataValidation>
    <dataValidation type="decimal" allowBlank="1" showErrorMessage="1" error="Enter a valid nonnegative value; useful life must be greater than zero." sqref="B76" xr:uid="{00000000-0002-0000-0300-000003000000}">
      <formula1>0</formula1>
      <formula2>1</formula2>
    </dataValidation>
  </dataValidations>
  <pageMargins left="0.7" right="0.7" top="0.75" bottom="0.75" header="0.3" footer="0.3"/>
  <pageSetup scale="86" fitToHeight="0"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S96"/>
  <sheetViews>
    <sheetView workbookViewId="0">
      <selection activeCell="P17" sqref="P17"/>
    </sheetView>
  </sheetViews>
  <sheetFormatPr defaultColWidth="8.88671875" defaultRowHeight="13.8" x14ac:dyDescent="0.3"/>
  <cols>
    <col min="1" max="1" width="19.109375" style="43" customWidth="1"/>
    <col min="2" max="2" width="15.33203125" style="43" customWidth="1"/>
    <col min="3" max="3" width="9.33203125" style="43" customWidth="1"/>
    <col min="4" max="5" width="11.109375" style="43" customWidth="1"/>
    <col min="6" max="6" width="10.33203125" style="43" customWidth="1"/>
    <col min="7" max="7" width="9.77734375" style="43" customWidth="1"/>
    <col min="8" max="8" width="10.6640625" style="43" customWidth="1"/>
    <col min="9" max="9" width="9.77734375" style="43" customWidth="1"/>
    <col min="10" max="10" width="10.44140625" style="43" customWidth="1"/>
    <col min="11" max="17" width="9.77734375" style="43" customWidth="1"/>
    <col min="18" max="18" width="9.6640625" style="43" customWidth="1"/>
    <col min="19" max="19" width="8.77734375" style="43" customWidth="1"/>
    <col min="20" max="20" width="9.21875" style="43" customWidth="1"/>
    <col min="21" max="21" width="9.33203125" style="43" customWidth="1"/>
    <col min="22" max="22" width="10.21875" style="43" customWidth="1"/>
    <col min="23" max="23" width="9" style="43" customWidth="1"/>
    <col min="24" max="24" width="9.21875" style="43" customWidth="1"/>
    <col min="25" max="26" width="7.77734375" style="43" customWidth="1"/>
    <col min="27" max="70" width="9" style="43" hidden="1" customWidth="1"/>
    <col min="71" max="71" width="8.88671875" style="43" customWidth="1"/>
    <col min="72" max="16384" width="8.88671875" style="43"/>
  </cols>
  <sheetData>
    <row r="1" spans="1:71" ht="11.1" customHeight="1" x14ac:dyDescent="0.25">
      <c r="B1" s="78"/>
      <c r="C1" s="78"/>
      <c r="D1" s="129"/>
      <c r="E1" s="129"/>
      <c r="F1" s="129"/>
      <c r="G1" s="129"/>
      <c r="H1" s="129"/>
      <c r="I1" s="129"/>
      <c r="J1" s="129"/>
      <c r="K1" s="129"/>
      <c r="L1" s="129"/>
      <c r="M1" s="129"/>
      <c r="N1" s="129"/>
      <c r="O1" s="129"/>
      <c r="P1" s="129"/>
      <c r="Q1" s="129"/>
      <c r="R1" s="129"/>
      <c r="S1" s="129"/>
      <c r="T1" s="129"/>
      <c r="U1" s="129"/>
      <c r="V1" s="129"/>
      <c r="W1" s="129"/>
      <c r="X1" s="129"/>
      <c r="Y1" s="129"/>
      <c r="Z1" s="129"/>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9"/>
      <c r="BQ1" s="79"/>
    </row>
    <row r="2" spans="1:71" ht="30.6" customHeight="1" x14ac:dyDescent="0.3">
      <c r="A2" s="80" t="s">
        <v>0</v>
      </c>
      <c r="B2" s="130" t="s">
        <v>1</v>
      </c>
      <c r="C2" s="128">
        <v>2027</v>
      </c>
      <c r="D2" s="81" t="s">
        <v>2</v>
      </c>
      <c r="E2" s="6"/>
      <c r="F2" s="131" t="s">
        <v>3</v>
      </c>
      <c r="G2" s="178">
        <f>'Budget Active WORKSHEET'!$H$3</f>
        <v>138</v>
      </c>
      <c r="H2" s="131" t="s">
        <v>4</v>
      </c>
      <c r="I2" s="187">
        <v>3000000</v>
      </c>
      <c r="J2" s="188"/>
      <c r="K2" s="87" t="s">
        <v>5</v>
      </c>
      <c r="L2" s="179">
        <f>IFERROR(I2/G2,0)</f>
        <v>21739.130434782608</v>
      </c>
    </row>
    <row r="3" spans="1:71" ht="11.1" customHeight="1" x14ac:dyDescent="0.3">
      <c r="B3" s="78"/>
      <c r="C3" s="78"/>
      <c r="D3" s="129"/>
      <c r="E3" s="129"/>
      <c r="F3" s="189" t="s">
        <v>6</v>
      </c>
      <c r="G3" s="190"/>
      <c r="H3" s="190"/>
      <c r="I3" s="190"/>
      <c r="J3" s="190"/>
      <c r="K3" s="190"/>
      <c r="L3" s="190"/>
      <c r="N3" s="129"/>
      <c r="O3" s="129"/>
      <c r="P3" s="129"/>
      <c r="Q3" s="129"/>
      <c r="R3" s="129"/>
      <c r="S3" s="129"/>
      <c r="T3" s="129"/>
      <c r="U3" s="129"/>
      <c r="V3" s="129"/>
      <c r="W3" s="129"/>
      <c r="X3" s="129"/>
      <c r="Y3" s="129"/>
      <c r="Z3" s="129"/>
      <c r="AA3" s="129"/>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9"/>
      <c r="BR3" s="79"/>
    </row>
    <row r="4" spans="1:71" ht="11.1" customHeight="1" x14ac:dyDescent="0.25">
      <c r="B4" s="78"/>
      <c r="C4" s="78"/>
      <c r="D4" s="129"/>
      <c r="E4" s="129"/>
      <c r="F4" s="129"/>
      <c r="G4" s="129"/>
      <c r="H4" s="129"/>
      <c r="I4" s="129"/>
      <c r="J4" s="129"/>
      <c r="K4" s="129"/>
      <c r="L4" s="129"/>
      <c r="M4" s="129"/>
      <c r="N4" s="129"/>
      <c r="O4" s="129"/>
      <c r="P4" s="129"/>
      <c r="Q4" s="129"/>
      <c r="R4" s="129"/>
      <c r="S4" s="129"/>
      <c r="T4" s="129"/>
      <c r="U4" s="129"/>
      <c r="V4" s="129"/>
      <c r="W4" s="129"/>
      <c r="X4" s="129"/>
      <c r="Y4" s="129"/>
      <c r="Z4" s="129"/>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9"/>
      <c r="BQ4" s="79"/>
    </row>
    <row r="5" spans="1:71" ht="31.2" customHeight="1" x14ac:dyDescent="0.25">
      <c r="A5" s="132" t="s">
        <v>7</v>
      </c>
      <c r="B5" s="130" t="s">
        <v>8</v>
      </c>
      <c r="C5" s="82" t="s">
        <v>9</v>
      </c>
      <c r="D5" s="130" t="s">
        <v>10</v>
      </c>
      <c r="E5" s="130" t="s">
        <v>11</v>
      </c>
      <c r="F5" s="133">
        <f>$C$2+0</f>
        <v>2027</v>
      </c>
      <c r="G5" s="133">
        <f>$C$2+1</f>
        <v>2028</v>
      </c>
      <c r="H5" s="133">
        <f>$C$2+2</f>
        <v>2029</v>
      </c>
      <c r="I5" s="133">
        <f>$C$2+3</f>
        <v>2030</v>
      </c>
      <c r="J5" s="133">
        <f>$C$2+4</f>
        <v>2031</v>
      </c>
      <c r="K5" s="133">
        <f>$C$2+5</f>
        <v>2032</v>
      </c>
      <c r="L5" s="133">
        <f>$C$2+6</f>
        <v>2033</v>
      </c>
      <c r="M5" s="133">
        <f>$C$2+7</f>
        <v>2034</v>
      </c>
      <c r="N5" s="129"/>
      <c r="O5" s="129"/>
      <c r="P5" s="129"/>
      <c r="Q5" s="129"/>
      <c r="R5" s="129"/>
      <c r="S5" s="129"/>
      <c r="T5" s="129"/>
      <c r="U5" s="129"/>
      <c r="V5" s="129"/>
      <c r="W5" s="129"/>
      <c r="X5" s="129"/>
      <c r="Y5" s="129"/>
      <c r="Z5" s="129"/>
      <c r="AA5" s="129"/>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9"/>
      <c r="BR5" s="79"/>
    </row>
    <row r="6" spans="1:71" s="84" customFormat="1" x14ac:dyDescent="0.25">
      <c r="A6" s="134" t="s">
        <v>12</v>
      </c>
      <c r="B6" s="135">
        <v>3000000</v>
      </c>
      <c r="C6" s="136">
        <v>0</v>
      </c>
      <c r="D6" s="136">
        <v>0</v>
      </c>
      <c r="E6" s="172">
        <f t="shared" ref="E6:E11" si="0">IF(OR(B6="",B6=0,D6=""),"",$C$2+D6)</f>
        <v>2027</v>
      </c>
      <c r="F6" s="137">
        <f t="shared" ref="F6:M6" si="1">IFERROR(IF(AND($B6&gt;0,$C6&gt;0,F5&gt;=$C$2+$D6,MOD(F5-$C$2-$D6,$C6)=0),$B6*(1+$B$76)^(F5-$C$2),0),0)</f>
        <v>0</v>
      </c>
      <c r="G6" s="137">
        <f t="shared" si="1"/>
        <v>0</v>
      </c>
      <c r="H6" s="137">
        <f t="shared" si="1"/>
        <v>0</v>
      </c>
      <c r="I6" s="137">
        <f t="shared" si="1"/>
        <v>0</v>
      </c>
      <c r="J6" s="137">
        <f t="shared" si="1"/>
        <v>0</v>
      </c>
      <c r="K6" s="137">
        <f t="shared" si="1"/>
        <v>0</v>
      </c>
      <c r="L6" s="137">
        <f t="shared" si="1"/>
        <v>0</v>
      </c>
      <c r="M6" s="137">
        <f t="shared" si="1"/>
        <v>0</v>
      </c>
      <c r="N6" s="129"/>
      <c r="O6" s="129"/>
      <c r="P6" s="129"/>
      <c r="Q6" s="129"/>
      <c r="R6" s="129"/>
      <c r="S6" s="129"/>
      <c r="T6" s="129"/>
      <c r="U6" s="129"/>
      <c r="V6" s="129"/>
      <c r="W6" s="129"/>
      <c r="X6" s="129"/>
      <c r="Y6" s="129"/>
      <c r="Z6" s="129"/>
      <c r="AA6" s="129"/>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9"/>
      <c r="BR6" s="79"/>
      <c r="BS6" s="83"/>
    </row>
    <row r="7" spans="1:71" s="84" customFormat="1" x14ac:dyDescent="0.25">
      <c r="A7" s="134" t="s">
        <v>13</v>
      </c>
      <c r="B7" s="135">
        <v>200000</v>
      </c>
      <c r="C7" s="136">
        <v>0</v>
      </c>
      <c r="D7" s="136">
        <v>0</v>
      </c>
      <c r="E7" s="172">
        <f t="shared" si="0"/>
        <v>2027</v>
      </c>
      <c r="F7" s="137">
        <f t="shared" ref="F7:M7" si="2">IFERROR(IF(AND($B7&gt;0,$C7&gt;0,F5&gt;=$C$2+$D7,MOD(F5-$C$2-$D7,$C7)=0),$B7*(1+$B$76)^(F5-$C$2),0),0)</f>
        <v>0</v>
      </c>
      <c r="G7" s="137">
        <f t="shared" si="2"/>
        <v>0</v>
      </c>
      <c r="H7" s="137">
        <f t="shared" si="2"/>
        <v>0</v>
      </c>
      <c r="I7" s="137">
        <f t="shared" si="2"/>
        <v>0</v>
      </c>
      <c r="J7" s="137">
        <f t="shared" si="2"/>
        <v>0</v>
      </c>
      <c r="K7" s="137">
        <f t="shared" si="2"/>
        <v>0</v>
      </c>
      <c r="L7" s="137">
        <f t="shared" si="2"/>
        <v>0</v>
      </c>
      <c r="M7" s="137">
        <f t="shared" si="2"/>
        <v>0</v>
      </c>
      <c r="N7" s="129"/>
      <c r="O7" s="129"/>
      <c r="P7" s="129"/>
      <c r="Q7" s="129"/>
      <c r="R7" s="129"/>
      <c r="S7" s="129"/>
      <c r="T7" s="129"/>
      <c r="U7" s="129"/>
      <c r="V7" s="129"/>
      <c r="W7" s="129"/>
      <c r="X7" s="129"/>
      <c r="Y7" s="129"/>
      <c r="Z7" s="129"/>
      <c r="AA7" s="129"/>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9"/>
      <c r="BR7" s="79"/>
      <c r="BS7" s="83"/>
    </row>
    <row r="8" spans="1:71" s="84" customFormat="1" x14ac:dyDescent="0.25">
      <c r="A8" s="138">
        <v>3</v>
      </c>
      <c r="B8" s="135"/>
      <c r="C8" s="136">
        <v>0</v>
      </c>
      <c r="D8" s="136">
        <v>0</v>
      </c>
      <c r="E8" s="172" t="str">
        <f t="shared" si="0"/>
        <v/>
      </c>
      <c r="F8" s="137">
        <f t="shared" ref="F8:M8" si="3">IFERROR(IF(AND($B8&gt;0,$C8&gt;0,F5&gt;=$C$2+$D8,MOD(F5-$C$2-$D8,$C8)=0),$B8*(1+$B$76)^(F5-$C$2),0),0)</f>
        <v>0</v>
      </c>
      <c r="G8" s="137">
        <f t="shared" si="3"/>
        <v>0</v>
      </c>
      <c r="H8" s="137">
        <f t="shared" si="3"/>
        <v>0</v>
      </c>
      <c r="I8" s="137">
        <f t="shared" si="3"/>
        <v>0</v>
      </c>
      <c r="J8" s="137">
        <f t="shared" si="3"/>
        <v>0</v>
      </c>
      <c r="K8" s="137">
        <f t="shared" si="3"/>
        <v>0</v>
      </c>
      <c r="L8" s="137">
        <f t="shared" si="3"/>
        <v>0</v>
      </c>
      <c r="M8" s="137">
        <f t="shared" si="3"/>
        <v>0</v>
      </c>
      <c r="N8" s="129"/>
      <c r="O8" s="129"/>
      <c r="P8" s="129"/>
      <c r="Q8" s="129"/>
      <c r="R8" s="129"/>
      <c r="S8" s="129"/>
      <c r="T8" s="129"/>
      <c r="U8" s="129"/>
      <c r="V8" s="129"/>
      <c r="W8" s="129"/>
      <c r="X8" s="129"/>
      <c r="Y8" s="129"/>
      <c r="Z8" s="129"/>
      <c r="AA8" s="129"/>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9"/>
      <c r="BR8" s="79"/>
      <c r="BS8" s="83"/>
    </row>
    <row r="9" spans="1:71" s="84" customFormat="1" x14ac:dyDescent="0.25">
      <c r="A9" s="138">
        <v>4</v>
      </c>
      <c r="B9" s="135"/>
      <c r="C9" s="136">
        <v>0</v>
      </c>
      <c r="D9" s="136">
        <v>0</v>
      </c>
      <c r="E9" s="172" t="str">
        <f t="shared" si="0"/>
        <v/>
      </c>
      <c r="F9" s="137">
        <f t="shared" ref="F9:M9" si="4">IFERROR(IF(AND($B9&gt;0,$C9&gt;0,F5&gt;=$C$2+$D9,MOD(F5-$C$2-$D9,$C9)=0),$B9*(1+$B$76)^(F5-$C$2),0),0)</f>
        <v>0</v>
      </c>
      <c r="G9" s="137">
        <f t="shared" si="4"/>
        <v>0</v>
      </c>
      <c r="H9" s="137">
        <f t="shared" si="4"/>
        <v>0</v>
      </c>
      <c r="I9" s="137">
        <f t="shared" si="4"/>
        <v>0</v>
      </c>
      <c r="J9" s="137">
        <f t="shared" si="4"/>
        <v>0</v>
      </c>
      <c r="K9" s="137">
        <f t="shared" si="4"/>
        <v>0</v>
      </c>
      <c r="L9" s="137">
        <f t="shared" si="4"/>
        <v>0</v>
      </c>
      <c r="M9" s="137">
        <f t="shared" si="4"/>
        <v>0</v>
      </c>
      <c r="N9" s="129"/>
      <c r="O9" s="129"/>
      <c r="P9" s="129"/>
      <c r="Q9" s="129"/>
      <c r="R9" s="129"/>
      <c r="S9" s="129"/>
      <c r="T9" s="129"/>
      <c r="U9" s="129"/>
      <c r="V9" s="129"/>
      <c r="W9" s="129"/>
      <c r="X9" s="129"/>
      <c r="Y9" s="129"/>
      <c r="Z9" s="129"/>
      <c r="AA9" s="129"/>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9"/>
      <c r="BR9" s="79"/>
      <c r="BS9" s="83"/>
    </row>
    <row r="10" spans="1:71" s="84" customFormat="1" x14ac:dyDescent="0.25">
      <c r="A10" s="138">
        <v>5</v>
      </c>
      <c r="B10" s="135"/>
      <c r="C10" s="136">
        <v>0</v>
      </c>
      <c r="D10" s="136">
        <v>0</v>
      </c>
      <c r="E10" s="172" t="str">
        <f t="shared" si="0"/>
        <v/>
      </c>
      <c r="F10" s="137">
        <f t="shared" ref="F10:M10" si="5">IFERROR(IF(AND($B10&gt;0,$C10&gt;0,F5&gt;=$C$2+$D10,MOD(F5-$C$2-$D10,$C10)=0),$B10*(1+$B$76)^(F5-$C$2),0),0)</f>
        <v>0</v>
      </c>
      <c r="G10" s="137">
        <f t="shared" si="5"/>
        <v>0</v>
      </c>
      <c r="H10" s="137">
        <f t="shared" si="5"/>
        <v>0</v>
      </c>
      <c r="I10" s="137">
        <f t="shared" si="5"/>
        <v>0</v>
      </c>
      <c r="J10" s="137">
        <f t="shared" si="5"/>
        <v>0</v>
      </c>
      <c r="K10" s="137">
        <f t="shared" si="5"/>
        <v>0</v>
      </c>
      <c r="L10" s="137">
        <f t="shared" si="5"/>
        <v>0</v>
      </c>
      <c r="M10" s="137">
        <f t="shared" si="5"/>
        <v>0</v>
      </c>
      <c r="N10" s="129"/>
      <c r="O10" s="129"/>
      <c r="P10" s="129"/>
      <c r="Q10" s="129"/>
      <c r="R10" s="129"/>
      <c r="S10" s="129"/>
      <c r="T10" s="129"/>
      <c r="U10" s="129"/>
      <c r="V10" s="129"/>
      <c r="W10" s="129"/>
      <c r="X10" s="129"/>
      <c r="Y10" s="129"/>
      <c r="Z10" s="129"/>
      <c r="AA10" s="129"/>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9"/>
      <c r="BR10" s="79"/>
      <c r="BS10" s="83"/>
    </row>
    <row r="11" spans="1:71" s="84" customFormat="1" x14ac:dyDescent="0.25">
      <c r="A11" s="138">
        <v>6</v>
      </c>
      <c r="B11" s="135"/>
      <c r="C11" s="136">
        <v>0</v>
      </c>
      <c r="D11" s="136">
        <v>0</v>
      </c>
      <c r="E11" s="172" t="str">
        <f t="shared" si="0"/>
        <v/>
      </c>
      <c r="F11" s="137">
        <f t="shared" ref="F11:M11" si="6">IFERROR(IF(AND($B11&gt;0,$C11&gt;0,F5&gt;=$C$2+$D11,MOD(F5-$C$2-$D11,$C11)=0),$B11*(1+$B$76)^(F5-$C$2),0),0)</f>
        <v>0</v>
      </c>
      <c r="G11" s="137">
        <f t="shared" si="6"/>
        <v>0</v>
      </c>
      <c r="H11" s="137">
        <f t="shared" si="6"/>
        <v>0</v>
      </c>
      <c r="I11" s="137">
        <f t="shared" si="6"/>
        <v>0</v>
      </c>
      <c r="J11" s="137">
        <f t="shared" si="6"/>
        <v>0</v>
      </c>
      <c r="K11" s="137">
        <f t="shared" si="6"/>
        <v>0</v>
      </c>
      <c r="L11" s="137">
        <f t="shared" si="6"/>
        <v>0</v>
      </c>
      <c r="M11" s="137">
        <f t="shared" si="6"/>
        <v>0</v>
      </c>
      <c r="N11" s="129"/>
      <c r="O11" s="129"/>
      <c r="P11" s="129"/>
      <c r="Q11" s="129"/>
      <c r="R11" s="129"/>
      <c r="S11" s="129"/>
      <c r="T11" s="129"/>
      <c r="U11" s="129"/>
      <c r="V11" s="129"/>
      <c r="W11" s="129"/>
      <c r="X11" s="129"/>
      <c r="Y11" s="129"/>
      <c r="Z11" s="129"/>
      <c r="AA11" s="129"/>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9"/>
      <c r="BR11" s="79"/>
      <c r="BS11" s="83"/>
    </row>
    <row r="12" spans="1:71" s="84" customFormat="1" x14ac:dyDescent="0.25">
      <c r="A12" s="139"/>
      <c r="B12" s="137"/>
      <c r="C12" s="140"/>
      <c r="D12" s="140"/>
      <c r="E12" s="140"/>
      <c r="F12" s="137"/>
      <c r="G12" s="137"/>
      <c r="H12" s="137"/>
      <c r="I12" s="137"/>
      <c r="J12" s="137"/>
      <c r="K12" s="137"/>
      <c r="L12" s="137"/>
      <c r="M12" s="137"/>
      <c r="N12" s="129"/>
      <c r="O12" s="129"/>
      <c r="P12" s="129"/>
      <c r="Q12" s="129"/>
      <c r="R12" s="129"/>
      <c r="S12" s="129"/>
      <c r="T12" s="129"/>
      <c r="U12" s="129"/>
      <c r="V12" s="129"/>
      <c r="W12" s="129"/>
      <c r="X12" s="129"/>
      <c r="Y12" s="129"/>
      <c r="Z12" s="129"/>
      <c r="AA12" s="129"/>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9"/>
      <c r="BR12" s="79"/>
      <c r="BS12" s="83"/>
    </row>
    <row r="13" spans="1:71" ht="12" customHeight="1" x14ac:dyDescent="0.25">
      <c r="A13" s="129"/>
      <c r="B13" s="141"/>
      <c r="C13" s="85"/>
      <c r="D13" s="85"/>
      <c r="E13" s="85"/>
      <c r="F13" s="85"/>
      <c r="G13" s="85"/>
      <c r="H13" s="85"/>
      <c r="I13" s="85"/>
      <c r="J13" s="85"/>
      <c r="K13" s="85"/>
      <c r="L13" s="85"/>
      <c r="M13" s="85"/>
      <c r="N13" s="129"/>
      <c r="O13" s="129"/>
      <c r="P13" s="129"/>
      <c r="Q13" s="129"/>
      <c r="R13" s="129"/>
      <c r="S13" s="129"/>
      <c r="T13" s="129"/>
      <c r="U13" s="129"/>
      <c r="V13" s="129"/>
      <c r="W13" s="129"/>
      <c r="X13" s="129"/>
      <c r="Y13" s="129"/>
      <c r="Z13" s="129"/>
      <c r="AA13" s="129"/>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9"/>
      <c r="BR13" s="79"/>
    </row>
    <row r="14" spans="1:71" ht="14.4" customHeight="1" x14ac:dyDescent="0.25">
      <c r="A14" s="129" t="s">
        <v>14</v>
      </c>
      <c r="B14" s="83"/>
      <c r="C14" s="83"/>
      <c r="D14" s="83"/>
      <c r="E14" s="83"/>
      <c r="F14" s="136">
        <v>200000</v>
      </c>
      <c r="G14" s="140">
        <f t="shared" ref="G14:M14" si="7">F18</f>
        <v>210000</v>
      </c>
      <c r="H14" s="140">
        <f t="shared" si="7"/>
        <v>220000</v>
      </c>
      <c r="I14" s="140">
        <f t="shared" si="7"/>
        <v>230000</v>
      </c>
      <c r="J14" s="140">
        <f t="shared" si="7"/>
        <v>240000</v>
      </c>
      <c r="K14" s="140">
        <f t="shared" si="7"/>
        <v>250000</v>
      </c>
      <c r="L14" s="140">
        <f t="shared" si="7"/>
        <v>260000</v>
      </c>
      <c r="M14" s="140">
        <f t="shared" si="7"/>
        <v>270000</v>
      </c>
      <c r="N14" s="129"/>
      <c r="O14" s="129"/>
      <c r="P14" s="129"/>
      <c r="Q14" s="129"/>
      <c r="R14" s="129"/>
      <c r="S14" s="129"/>
      <c r="T14" s="129"/>
      <c r="U14" s="129"/>
      <c r="V14" s="129"/>
      <c r="W14" s="129"/>
      <c r="X14" s="129"/>
      <c r="Y14" s="129"/>
      <c r="Z14" s="129"/>
      <c r="AA14" s="129"/>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9"/>
      <c r="BR14" s="79"/>
    </row>
    <row r="15" spans="1:71" ht="14.4" customHeight="1" x14ac:dyDescent="0.3">
      <c r="A15" s="129" t="s">
        <v>15</v>
      </c>
      <c r="E15" s="92"/>
      <c r="F15" s="142">
        <f>'Budget Active WORKSHEET'!L76</f>
        <v>10000</v>
      </c>
      <c r="G15" s="142">
        <f t="shared" ref="G15:M15" si="8">F15</f>
        <v>10000</v>
      </c>
      <c r="H15" s="142">
        <f t="shared" si="8"/>
        <v>10000</v>
      </c>
      <c r="I15" s="142">
        <f t="shared" si="8"/>
        <v>10000</v>
      </c>
      <c r="J15" s="142">
        <f t="shared" si="8"/>
        <v>10000</v>
      </c>
      <c r="K15" s="142">
        <f t="shared" si="8"/>
        <v>10000</v>
      </c>
      <c r="L15" s="142">
        <f t="shared" si="8"/>
        <v>10000</v>
      </c>
      <c r="M15" s="142">
        <f t="shared" si="8"/>
        <v>10000</v>
      </c>
      <c r="N15" s="143"/>
      <c r="O15" s="129"/>
      <c r="P15" s="129"/>
      <c r="Q15" s="129"/>
      <c r="R15" s="129"/>
      <c r="S15" s="129"/>
      <c r="T15" s="129"/>
      <c r="U15" s="129"/>
      <c r="V15" s="129"/>
      <c r="W15" s="129"/>
      <c r="X15" s="129"/>
      <c r="Y15" s="129"/>
      <c r="Z15" s="129"/>
      <c r="AA15" s="129"/>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9"/>
      <c r="BR15" s="79"/>
    </row>
    <row r="16" spans="1:71" ht="14.4" customHeight="1" x14ac:dyDescent="0.3">
      <c r="A16" s="129" t="s">
        <v>16</v>
      </c>
      <c r="E16" s="144"/>
      <c r="F16" s="145">
        <f t="shared" ref="F16:L16" si="9">IF(MAX(0,F17-F14-F15)&gt;0,MAX(0,F17-F14-F15),IF(G16&gt;0,G16+G15,0))</f>
        <v>0</v>
      </c>
      <c r="G16" s="145">
        <f t="shared" si="9"/>
        <v>0</v>
      </c>
      <c r="H16" s="145">
        <f t="shared" si="9"/>
        <v>0</v>
      </c>
      <c r="I16" s="145">
        <f t="shared" si="9"/>
        <v>0</v>
      </c>
      <c r="J16" s="145">
        <f t="shared" si="9"/>
        <v>0</v>
      </c>
      <c r="K16" s="145">
        <f t="shared" si="9"/>
        <v>0</v>
      </c>
      <c r="L16" s="145">
        <f t="shared" si="9"/>
        <v>0</v>
      </c>
      <c r="M16" s="145">
        <f>IF(MAX(0,M17-M14-M15)&gt;0,MAX(0,M17-M14-M15),IF(F32&gt;0,F32+F31,0))</f>
        <v>0</v>
      </c>
      <c r="N16" s="146"/>
      <c r="O16" s="129"/>
      <c r="P16" s="129"/>
      <c r="Q16" s="129"/>
      <c r="R16" s="129"/>
      <c r="S16" s="129"/>
      <c r="T16" s="129"/>
      <c r="U16" s="129"/>
      <c r="V16" s="129"/>
      <c r="W16" s="129"/>
      <c r="X16" s="129"/>
      <c r="Y16" s="129"/>
      <c r="Z16" s="129"/>
      <c r="AA16" s="129"/>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9"/>
      <c r="BR16" s="79"/>
    </row>
    <row r="17" spans="1:70" ht="14.4" customHeight="1" x14ac:dyDescent="0.25">
      <c r="A17" s="129" t="s">
        <v>17</v>
      </c>
      <c r="F17" s="140">
        <f t="shared" ref="F17:M17" si="10">SUM(F6:F11)</f>
        <v>0</v>
      </c>
      <c r="G17" s="140">
        <f t="shared" si="10"/>
        <v>0</v>
      </c>
      <c r="H17" s="140">
        <f t="shared" si="10"/>
        <v>0</v>
      </c>
      <c r="I17" s="140">
        <f t="shared" si="10"/>
        <v>0</v>
      </c>
      <c r="J17" s="140">
        <f t="shared" si="10"/>
        <v>0</v>
      </c>
      <c r="K17" s="140">
        <f t="shared" si="10"/>
        <v>0</v>
      </c>
      <c r="L17" s="140">
        <f t="shared" si="10"/>
        <v>0</v>
      </c>
      <c r="M17" s="140">
        <f t="shared" si="10"/>
        <v>0</v>
      </c>
      <c r="N17" s="129"/>
      <c r="O17" s="129"/>
      <c r="P17" s="129"/>
      <c r="Q17" s="129"/>
      <c r="R17" s="129"/>
      <c r="S17" s="129"/>
      <c r="T17" s="129"/>
      <c r="U17" s="129"/>
      <c r="V17" s="129"/>
      <c r="W17" s="129"/>
      <c r="X17" s="129"/>
      <c r="Y17" s="129"/>
      <c r="Z17" s="129"/>
      <c r="AA17" s="129"/>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9"/>
      <c r="BR17" s="79"/>
    </row>
    <row r="18" spans="1:70" ht="14.4" customHeight="1" x14ac:dyDescent="0.25">
      <c r="A18" s="129" t="s">
        <v>18</v>
      </c>
      <c r="B18" s="83"/>
      <c r="C18" s="83"/>
      <c r="D18" s="83"/>
      <c r="E18" s="91"/>
      <c r="F18" s="142">
        <f t="shared" ref="F18:M18" si="11">F14+F15+MAX(0,F17-F14-F15)-F17</f>
        <v>210000</v>
      </c>
      <c r="G18" s="142">
        <f t="shared" si="11"/>
        <v>220000</v>
      </c>
      <c r="H18" s="142">
        <f t="shared" si="11"/>
        <v>230000</v>
      </c>
      <c r="I18" s="142">
        <f t="shared" si="11"/>
        <v>240000</v>
      </c>
      <c r="J18" s="142">
        <f t="shared" si="11"/>
        <v>250000</v>
      </c>
      <c r="K18" s="142">
        <f t="shared" si="11"/>
        <v>260000</v>
      </c>
      <c r="L18" s="142">
        <f t="shared" si="11"/>
        <v>270000</v>
      </c>
      <c r="M18" s="142">
        <f t="shared" si="11"/>
        <v>280000</v>
      </c>
      <c r="N18" s="129"/>
      <c r="O18" s="129"/>
      <c r="P18" s="129"/>
      <c r="Q18" s="129"/>
      <c r="R18" s="129"/>
      <c r="S18" s="129"/>
      <c r="T18" s="129"/>
      <c r="U18" s="129"/>
      <c r="V18" s="129"/>
      <c r="W18" s="129"/>
      <c r="X18" s="129"/>
      <c r="Y18" s="129"/>
      <c r="Z18" s="129"/>
      <c r="AA18" s="129"/>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9"/>
      <c r="BR18" s="79"/>
    </row>
    <row r="19" spans="1:70" ht="14.4" customHeight="1" x14ac:dyDescent="0.25">
      <c r="A19" s="129"/>
      <c r="B19" s="83"/>
      <c r="C19" s="83"/>
      <c r="D19" s="83"/>
      <c r="E19" s="83"/>
      <c r="F19" s="140"/>
      <c r="G19" s="140"/>
      <c r="H19" s="140"/>
      <c r="I19" s="140"/>
      <c r="J19" s="140"/>
      <c r="K19" s="140"/>
      <c r="L19" s="140"/>
      <c r="M19" s="140"/>
      <c r="N19" s="129"/>
      <c r="O19" s="129"/>
      <c r="P19" s="129"/>
      <c r="Q19" s="129"/>
      <c r="R19" s="129"/>
      <c r="S19" s="129"/>
      <c r="T19" s="129"/>
      <c r="U19" s="129"/>
      <c r="V19" s="129"/>
      <c r="W19" s="129"/>
      <c r="X19" s="129"/>
      <c r="Y19" s="129"/>
      <c r="Z19" s="129"/>
      <c r="AA19" s="129"/>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9"/>
      <c r="BR19" s="79"/>
    </row>
    <row r="20" spans="1:70" ht="14.4" customHeight="1" x14ac:dyDescent="0.3">
      <c r="A20" s="93"/>
      <c r="B20" s="93"/>
      <c r="C20" s="93"/>
      <c r="D20" s="93"/>
      <c r="E20" s="93"/>
      <c r="F20" s="93"/>
      <c r="G20" s="93"/>
      <c r="H20" s="93"/>
      <c r="I20" s="93"/>
      <c r="J20" s="93"/>
      <c r="K20" s="93"/>
      <c r="L20" s="93"/>
      <c r="M20" s="93"/>
      <c r="O20" s="129"/>
      <c r="P20" s="129"/>
      <c r="Q20" s="129"/>
      <c r="R20" s="129"/>
      <c r="S20" s="129"/>
      <c r="T20" s="129"/>
      <c r="U20" s="129"/>
      <c r="V20" s="129"/>
      <c r="W20" s="129"/>
      <c r="X20" s="129"/>
      <c r="Y20" s="129"/>
      <c r="Z20" s="129"/>
      <c r="AA20" s="129"/>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9"/>
      <c r="BR20" s="79"/>
    </row>
    <row r="21" spans="1:70" ht="33" customHeight="1" x14ac:dyDescent="0.25">
      <c r="A21" s="132" t="str">
        <f t="shared" ref="A21:D27" si="12">A5</f>
        <v>Category</v>
      </c>
      <c r="B21" s="130" t="str">
        <f t="shared" si="12"/>
        <v>Replacement Cost</v>
      </c>
      <c r="C21" s="82" t="str">
        <f t="shared" si="12"/>
        <v>Useful Life</v>
      </c>
      <c r="D21" s="130" t="str">
        <f t="shared" si="12"/>
        <v>Remaining Life</v>
      </c>
      <c r="E21" s="130" t="s">
        <v>11</v>
      </c>
      <c r="F21" s="133">
        <f>$C$2+8</f>
        <v>2035</v>
      </c>
      <c r="G21" s="133">
        <f>$C$2+9</f>
        <v>2036</v>
      </c>
      <c r="H21" s="133">
        <f>$C$2+10</f>
        <v>2037</v>
      </c>
      <c r="I21" s="133">
        <f>$C$2+11</f>
        <v>2038</v>
      </c>
      <c r="J21" s="133">
        <f>$C$2+12</f>
        <v>2039</v>
      </c>
      <c r="K21" s="133">
        <f>$C$2+13</f>
        <v>2040</v>
      </c>
      <c r="L21" s="133">
        <f>$C$2+14</f>
        <v>2041</v>
      </c>
      <c r="M21" s="133">
        <f>$C$2+15</f>
        <v>2042</v>
      </c>
      <c r="O21" s="129"/>
      <c r="P21" s="129"/>
      <c r="Q21" s="129"/>
      <c r="R21" s="129"/>
      <c r="S21" s="129"/>
      <c r="T21" s="129"/>
      <c r="U21" s="129"/>
      <c r="V21" s="129"/>
      <c r="W21" s="129"/>
      <c r="X21" s="129"/>
      <c r="Y21" s="129"/>
      <c r="Z21" s="129"/>
      <c r="AA21" s="129"/>
      <c r="AB21" s="129"/>
      <c r="AC21" s="129"/>
      <c r="AD21" s="133">
        <f>$C$2+32</f>
        <v>2059</v>
      </c>
      <c r="AE21" s="133">
        <f>$C$2+33</f>
        <v>2060</v>
      </c>
      <c r="AF21" s="133">
        <f>$C$2+34</f>
        <v>2061</v>
      </c>
      <c r="AG21" s="133">
        <f>$C$2+35</f>
        <v>2062</v>
      </c>
      <c r="AH21" s="86">
        <f>$C$2+36</f>
        <v>2063</v>
      </c>
      <c r="AI21" s="86">
        <f>$C$2+37</f>
        <v>2064</v>
      </c>
      <c r="AJ21" s="86">
        <f>$C$2+38</f>
        <v>2065</v>
      </c>
      <c r="AK21" s="86">
        <f>$C$2+39</f>
        <v>2066</v>
      </c>
      <c r="AL21" s="86">
        <f>$C$2+40</f>
        <v>2067</v>
      </c>
      <c r="AM21" s="86">
        <f>$C$2+41</f>
        <v>2068</v>
      </c>
      <c r="AN21" s="86">
        <f>$C$2+42</f>
        <v>2069</v>
      </c>
      <c r="AO21" s="86">
        <f>$C$2+43</f>
        <v>2070</v>
      </c>
      <c r="AP21" s="86">
        <f>$C$2+44</f>
        <v>2071</v>
      </c>
      <c r="AQ21" s="86">
        <f>$C$2+45</f>
        <v>2072</v>
      </c>
      <c r="AR21" s="86">
        <f>$C$2+46</f>
        <v>2073</v>
      </c>
      <c r="AS21" s="86">
        <f>$C$2+47</f>
        <v>2074</v>
      </c>
      <c r="AT21" s="86">
        <f>$C$2+48</f>
        <v>2075</v>
      </c>
      <c r="AU21" s="86">
        <f>$C$2+49</f>
        <v>2076</v>
      </c>
      <c r="AV21" s="86">
        <f>$C$2+50</f>
        <v>2077</v>
      </c>
      <c r="AW21" s="86">
        <f>$C$2+51</f>
        <v>2078</v>
      </c>
      <c r="AX21" s="86">
        <f>$C$2+52</f>
        <v>2079</v>
      </c>
      <c r="AY21" s="86">
        <f>$C$2+53</f>
        <v>2080</v>
      </c>
      <c r="AZ21" s="86">
        <f>$C$2+54</f>
        <v>2081</v>
      </c>
      <c r="BA21" s="86">
        <f>$C$2+55</f>
        <v>2082</v>
      </c>
      <c r="BB21" s="86">
        <f>$C$2+56</f>
        <v>2083</v>
      </c>
      <c r="BC21" s="86">
        <f>$C$2+57</f>
        <v>2084</v>
      </c>
      <c r="BD21" s="86">
        <f>$C$2+58</f>
        <v>2085</v>
      </c>
      <c r="BE21" s="86">
        <f>$C$2+59</f>
        <v>2086</v>
      </c>
      <c r="BF21" s="86">
        <f>$C$2+60</f>
        <v>2087</v>
      </c>
      <c r="BG21" s="86">
        <f>$C$2+61</f>
        <v>2088</v>
      </c>
      <c r="BH21" s="86">
        <f>$C$2+62</f>
        <v>2089</v>
      </c>
      <c r="BI21" s="86">
        <f>$C$2+63</f>
        <v>2090</v>
      </c>
      <c r="BJ21" s="86">
        <f>$C$2+64</f>
        <v>2091</v>
      </c>
    </row>
    <row r="22" spans="1:70" ht="14.4" customHeight="1" x14ac:dyDescent="0.25">
      <c r="A22" s="147" t="str">
        <f t="shared" si="12"/>
        <v>Roof- Replacement</v>
      </c>
      <c r="B22" s="137">
        <f t="shared" si="12"/>
        <v>3000000</v>
      </c>
      <c r="C22" s="140">
        <f t="shared" si="12"/>
        <v>0</v>
      </c>
      <c r="D22" s="140">
        <f t="shared" si="12"/>
        <v>0</v>
      </c>
      <c r="E22" s="140">
        <f t="shared" ref="E22:E27" si="13">E6</f>
        <v>2027</v>
      </c>
      <c r="F22" s="137">
        <f t="shared" ref="F22:M22" si="14">IFERROR(IF(AND($B6&gt;0,$C6&gt;0,F21&gt;=$C$2+$D6,MOD(F21-$C$2-$D6,$C6)=0),$B6*(1+$B$76)^(F21-$C$2),0),0)</f>
        <v>0</v>
      </c>
      <c r="G22" s="137">
        <f t="shared" si="14"/>
        <v>0</v>
      </c>
      <c r="H22" s="137">
        <f t="shared" si="14"/>
        <v>0</v>
      </c>
      <c r="I22" s="137">
        <f t="shared" si="14"/>
        <v>0</v>
      </c>
      <c r="J22" s="137">
        <f t="shared" si="14"/>
        <v>0</v>
      </c>
      <c r="K22" s="137">
        <f t="shared" si="14"/>
        <v>0</v>
      </c>
      <c r="L22" s="137">
        <f t="shared" si="14"/>
        <v>0</v>
      </c>
      <c r="M22" s="137">
        <f t="shared" si="14"/>
        <v>0</v>
      </c>
      <c r="O22" s="129"/>
      <c r="P22" s="129"/>
      <c r="Q22" s="129"/>
      <c r="R22" s="129"/>
      <c r="S22" s="129"/>
      <c r="T22" s="129"/>
      <c r="U22" s="129"/>
      <c r="V22" s="129"/>
      <c r="W22" s="129"/>
      <c r="X22" s="129"/>
      <c r="Y22" s="129"/>
      <c r="Z22" s="129"/>
      <c r="AA22" s="129"/>
      <c r="AB22" s="129"/>
      <c r="AC22" s="129"/>
      <c r="AD22" s="148">
        <f t="shared" ref="AD22:BJ22" si="15">IFERROR(IF(AND($B6&gt;0,$C6&gt;0,AD21&gt;=$C$2+$D6,MOD(AD21-$C$2-$D6,$C6)=0),$B6*(1+$B$76)^(AD21-$C$2),0),0)</f>
        <v>0</v>
      </c>
      <c r="AE22" s="148">
        <f t="shared" si="15"/>
        <v>0</v>
      </c>
      <c r="AF22" s="148">
        <f t="shared" si="15"/>
        <v>0</v>
      </c>
      <c r="AG22" s="148">
        <f t="shared" si="15"/>
        <v>0</v>
      </c>
      <c r="AH22" s="148">
        <f t="shared" si="15"/>
        <v>0</v>
      </c>
      <c r="AI22" s="149">
        <f t="shared" si="15"/>
        <v>0</v>
      </c>
      <c r="AJ22" s="148">
        <f t="shared" si="15"/>
        <v>0</v>
      </c>
      <c r="AK22" s="148">
        <f t="shared" si="15"/>
        <v>0</v>
      </c>
      <c r="AL22" s="148">
        <f t="shared" si="15"/>
        <v>0</v>
      </c>
      <c r="AM22" s="148">
        <f t="shared" si="15"/>
        <v>0</v>
      </c>
      <c r="AN22" s="148">
        <f t="shared" si="15"/>
        <v>0</v>
      </c>
      <c r="AO22" s="148">
        <f t="shared" si="15"/>
        <v>0</v>
      </c>
      <c r="AP22" s="148">
        <f t="shared" si="15"/>
        <v>0</v>
      </c>
      <c r="AQ22" s="148">
        <f t="shared" si="15"/>
        <v>0</v>
      </c>
      <c r="AR22" s="148">
        <f t="shared" si="15"/>
        <v>0</v>
      </c>
      <c r="AS22" s="148">
        <f t="shared" si="15"/>
        <v>0</v>
      </c>
      <c r="AT22" s="148">
        <f t="shared" si="15"/>
        <v>0</v>
      </c>
      <c r="AU22" s="148">
        <f t="shared" si="15"/>
        <v>0</v>
      </c>
      <c r="AV22" s="148">
        <f t="shared" si="15"/>
        <v>0</v>
      </c>
      <c r="AW22" s="148">
        <f t="shared" si="15"/>
        <v>0</v>
      </c>
      <c r="AX22" s="148">
        <f t="shared" si="15"/>
        <v>0</v>
      </c>
      <c r="AY22" s="148">
        <f t="shared" si="15"/>
        <v>0</v>
      </c>
      <c r="AZ22" s="148">
        <f t="shared" si="15"/>
        <v>0</v>
      </c>
      <c r="BA22" s="148">
        <f t="shared" si="15"/>
        <v>0</v>
      </c>
      <c r="BB22" s="148">
        <f t="shared" si="15"/>
        <v>0</v>
      </c>
      <c r="BC22" s="149">
        <f t="shared" si="15"/>
        <v>0</v>
      </c>
      <c r="BD22" s="148">
        <f t="shared" si="15"/>
        <v>0</v>
      </c>
      <c r="BE22" s="148">
        <f t="shared" si="15"/>
        <v>0</v>
      </c>
      <c r="BF22" s="148">
        <f t="shared" si="15"/>
        <v>0</v>
      </c>
      <c r="BG22" s="148">
        <f t="shared" si="15"/>
        <v>0</v>
      </c>
      <c r="BH22" s="148">
        <f t="shared" si="15"/>
        <v>0</v>
      </c>
      <c r="BI22" s="148">
        <f t="shared" si="15"/>
        <v>0</v>
      </c>
      <c r="BJ22" s="148">
        <f t="shared" si="15"/>
        <v>0</v>
      </c>
      <c r="BK22" s="150"/>
    </row>
    <row r="23" spans="1:70" ht="14.4" customHeight="1" x14ac:dyDescent="0.25">
      <c r="A23" s="147" t="str">
        <f t="shared" si="12"/>
        <v>Buildings - Repaint</v>
      </c>
      <c r="B23" s="137">
        <f t="shared" si="12"/>
        <v>200000</v>
      </c>
      <c r="C23" s="140">
        <f t="shared" si="12"/>
        <v>0</v>
      </c>
      <c r="D23" s="140">
        <f t="shared" si="12"/>
        <v>0</v>
      </c>
      <c r="E23" s="140">
        <f t="shared" si="13"/>
        <v>2027</v>
      </c>
      <c r="F23" s="137">
        <f t="shared" ref="F23:M23" si="16">IFERROR(IF(AND($B7&gt;0,$C7&gt;0,F21&gt;=$C$2+$D7,MOD(F21-$C$2-$D7,$C7)=0),$B7*(1+$B$76)^(F21-$C$2),0),0)</f>
        <v>0</v>
      </c>
      <c r="G23" s="137">
        <f t="shared" si="16"/>
        <v>0</v>
      </c>
      <c r="H23" s="137">
        <f t="shared" si="16"/>
        <v>0</v>
      </c>
      <c r="I23" s="137">
        <f t="shared" si="16"/>
        <v>0</v>
      </c>
      <c r="J23" s="137">
        <f t="shared" si="16"/>
        <v>0</v>
      </c>
      <c r="K23" s="137">
        <f t="shared" si="16"/>
        <v>0</v>
      </c>
      <c r="L23" s="137">
        <f t="shared" si="16"/>
        <v>0</v>
      </c>
      <c r="M23" s="137">
        <f t="shared" si="16"/>
        <v>0</v>
      </c>
      <c r="O23" s="129"/>
      <c r="P23" s="129"/>
      <c r="Q23" s="129"/>
      <c r="R23" s="129"/>
      <c r="S23" s="129"/>
      <c r="T23" s="129"/>
      <c r="U23" s="129"/>
      <c r="V23" s="129"/>
      <c r="W23" s="129"/>
      <c r="X23" s="129"/>
      <c r="Y23" s="129"/>
      <c r="Z23" s="129"/>
      <c r="AA23" s="129"/>
      <c r="AB23" s="129"/>
      <c r="AC23" s="129"/>
      <c r="AD23" s="148">
        <f t="shared" ref="AD23:BJ23" si="17">IFERROR(IF(AND($B7&gt;0,$C7&gt;0,AD21&gt;=$C$2+$D7,MOD(AD21-$C$2-$D7,$C7)=0),$B7*(1+$B$76)^(AD21-$C$2),0),0)</f>
        <v>0</v>
      </c>
      <c r="AE23" s="148">
        <f t="shared" si="17"/>
        <v>0</v>
      </c>
      <c r="AF23" s="149">
        <f t="shared" si="17"/>
        <v>0</v>
      </c>
      <c r="AG23" s="148">
        <f t="shared" si="17"/>
        <v>0</v>
      </c>
      <c r="AH23" s="148">
        <f t="shared" si="17"/>
        <v>0</v>
      </c>
      <c r="AI23" s="148">
        <f t="shared" si="17"/>
        <v>0</v>
      </c>
      <c r="AJ23" s="148">
        <f t="shared" si="17"/>
        <v>0</v>
      </c>
      <c r="AK23" s="148">
        <f t="shared" si="17"/>
        <v>0</v>
      </c>
      <c r="AL23" s="148">
        <f t="shared" si="17"/>
        <v>0</v>
      </c>
      <c r="AM23" s="149">
        <f t="shared" si="17"/>
        <v>0</v>
      </c>
      <c r="AN23" s="148">
        <f t="shared" si="17"/>
        <v>0</v>
      </c>
      <c r="AO23" s="148">
        <f t="shared" si="17"/>
        <v>0</v>
      </c>
      <c r="AP23" s="148">
        <f t="shared" si="17"/>
        <v>0</v>
      </c>
      <c r="AQ23" s="148">
        <f t="shared" si="17"/>
        <v>0</v>
      </c>
      <c r="AR23" s="148">
        <f t="shared" si="17"/>
        <v>0</v>
      </c>
      <c r="AS23" s="148">
        <f t="shared" si="17"/>
        <v>0</v>
      </c>
      <c r="AT23" s="148">
        <f t="shared" si="17"/>
        <v>0</v>
      </c>
      <c r="AU23" s="148">
        <f t="shared" si="17"/>
        <v>0</v>
      </c>
      <c r="AV23" s="148">
        <f t="shared" si="17"/>
        <v>0</v>
      </c>
      <c r="AW23" s="148">
        <f t="shared" si="17"/>
        <v>0</v>
      </c>
      <c r="AX23" s="148">
        <f t="shared" si="17"/>
        <v>0</v>
      </c>
      <c r="AY23" s="149">
        <f t="shared" si="17"/>
        <v>0</v>
      </c>
      <c r="AZ23" s="148">
        <f t="shared" si="17"/>
        <v>0</v>
      </c>
      <c r="BA23" s="148">
        <f t="shared" si="17"/>
        <v>0</v>
      </c>
      <c r="BB23" s="148">
        <f t="shared" si="17"/>
        <v>0</v>
      </c>
      <c r="BC23" s="148">
        <f t="shared" si="17"/>
        <v>0</v>
      </c>
      <c r="BD23" s="148">
        <f t="shared" si="17"/>
        <v>0</v>
      </c>
      <c r="BE23" s="148">
        <f t="shared" si="17"/>
        <v>0</v>
      </c>
      <c r="BF23" s="148">
        <f t="shared" si="17"/>
        <v>0</v>
      </c>
      <c r="BG23" s="148">
        <f t="shared" si="17"/>
        <v>0</v>
      </c>
      <c r="BH23" s="148">
        <f t="shared" si="17"/>
        <v>0</v>
      </c>
      <c r="BI23" s="148">
        <f t="shared" si="17"/>
        <v>0</v>
      </c>
      <c r="BJ23" s="148">
        <f t="shared" si="17"/>
        <v>0</v>
      </c>
      <c r="BK23" s="150"/>
    </row>
    <row r="24" spans="1:70" ht="14.4" customHeight="1" x14ac:dyDescent="0.25">
      <c r="A24" s="139">
        <f t="shared" si="12"/>
        <v>3</v>
      </c>
      <c r="B24" s="137">
        <f t="shared" si="12"/>
        <v>0</v>
      </c>
      <c r="C24" s="140">
        <f t="shared" si="12"/>
        <v>0</v>
      </c>
      <c r="D24" s="140">
        <f t="shared" si="12"/>
        <v>0</v>
      </c>
      <c r="E24" s="140" t="str">
        <f t="shared" si="13"/>
        <v/>
      </c>
      <c r="F24" s="137">
        <f t="shared" ref="F24:M24" si="18">IFERROR(IF(AND($B8&gt;0,$C8&gt;0,F21&gt;=$C$2+$D8,MOD(F21-$C$2-$D8,$C8)=0),$B8*(1+$B$76)^(F21-$C$2),0),0)</f>
        <v>0</v>
      </c>
      <c r="G24" s="137">
        <f t="shared" si="18"/>
        <v>0</v>
      </c>
      <c r="H24" s="137">
        <f t="shared" si="18"/>
        <v>0</v>
      </c>
      <c r="I24" s="137">
        <f t="shared" si="18"/>
        <v>0</v>
      </c>
      <c r="J24" s="137">
        <f t="shared" si="18"/>
        <v>0</v>
      </c>
      <c r="K24" s="137">
        <f t="shared" si="18"/>
        <v>0</v>
      </c>
      <c r="L24" s="137">
        <f t="shared" si="18"/>
        <v>0</v>
      </c>
      <c r="M24" s="137">
        <f t="shared" si="18"/>
        <v>0</v>
      </c>
      <c r="O24" s="129"/>
      <c r="P24" s="129"/>
      <c r="Q24" s="129"/>
      <c r="R24" s="129"/>
      <c r="S24" s="129"/>
      <c r="T24" s="129"/>
      <c r="U24" s="129"/>
      <c r="V24" s="129"/>
      <c r="W24" s="129"/>
      <c r="X24" s="129"/>
      <c r="Y24" s="129"/>
      <c r="Z24" s="129"/>
      <c r="AA24" s="129"/>
      <c r="AB24" s="129"/>
      <c r="AC24" s="129"/>
      <c r="AD24" s="148">
        <f t="shared" ref="AD24:BJ24" si="19">IFERROR(IF(AND($B8&gt;0,$C8&gt;0,AD21&gt;=$C$2+$D8,MOD(AD21-$C$2-$D8,$C8)=0),$B8*(1+$B$76)^(AD21-$C$2),0),0)</f>
        <v>0</v>
      </c>
      <c r="AE24" s="148">
        <f t="shared" si="19"/>
        <v>0</v>
      </c>
      <c r="AF24" s="149">
        <f t="shared" si="19"/>
        <v>0</v>
      </c>
      <c r="AG24" s="148">
        <f t="shared" si="19"/>
        <v>0</v>
      </c>
      <c r="AH24" s="148">
        <f t="shared" si="19"/>
        <v>0</v>
      </c>
      <c r="AI24" s="148">
        <f t="shared" si="19"/>
        <v>0</v>
      </c>
      <c r="AJ24" s="148">
        <f t="shared" si="19"/>
        <v>0</v>
      </c>
      <c r="AK24" s="148">
        <f t="shared" si="19"/>
        <v>0</v>
      </c>
      <c r="AL24" s="148">
        <f t="shared" si="19"/>
        <v>0</v>
      </c>
      <c r="AM24" s="149">
        <f t="shared" si="19"/>
        <v>0</v>
      </c>
      <c r="AN24" s="148">
        <f t="shared" si="19"/>
        <v>0</v>
      </c>
      <c r="AO24" s="148">
        <f t="shared" si="19"/>
        <v>0</v>
      </c>
      <c r="AP24" s="148">
        <f t="shared" si="19"/>
        <v>0</v>
      </c>
      <c r="AQ24" s="148">
        <f t="shared" si="19"/>
        <v>0</v>
      </c>
      <c r="AR24" s="148">
        <f t="shared" si="19"/>
        <v>0</v>
      </c>
      <c r="AS24" s="148">
        <f t="shared" si="19"/>
        <v>0</v>
      </c>
      <c r="AT24" s="148">
        <f t="shared" si="19"/>
        <v>0</v>
      </c>
      <c r="AU24" s="148">
        <f t="shared" si="19"/>
        <v>0</v>
      </c>
      <c r="AV24" s="148">
        <f t="shared" si="19"/>
        <v>0</v>
      </c>
      <c r="AW24" s="148">
        <f t="shared" si="19"/>
        <v>0</v>
      </c>
      <c r="AX24" s="148">
        <f t="shared" si="19"/>
        <v>0</v>
      </c>
      <c r="AY24" s="149">
        <f t="shared" si="19"/>
        <v>0</v>
      </c>
      <c r="AZ24" s="148">
        <f t="shared" si="19"/>
        <v>0</v>
      </c>
      <c r="BA24" s="148">
        <f t="shared" si="19"/>
        <v>0</v>
      </c>
      <c r="BB24" s="148">
        <f t="shared" si="19"/>
        <v>0</v>
      </c>
      <c r="BC24" s="148">
        <f t="shared" si="19"/>
        <v>0</v>
      </c>
      <c r="BD24" s="148">
        <f t="shared" si="19"/>
        <v>0</v>
      </c>
      <c r="BE24" s="148">
        <f t="shared" si="19"/>
        <v>0</v>
      </c>
      <c r="BF24" s="148">
        <f t="shared" si="19"/>
        <v>0</v>
      </c>
      <c r="BG24" s="148">
        <f t="shared" si="19"/>
        <v>0</v>
      </c>
      <c r="BH24" s="148">
        <f t="shared" si="19"/>
        <v>0</v>
      </c>
      <c r="BI24" s="148">
        <f t="shared" si="19"/>
        <v>0</v>
      </c>
      <c r="BJ24" s="148">
        <f t="shared" si="19"/>
        <v>0</v>
      </c>
      <c r="BK24" s="150"/>
    </row>
    <row r="25" spans="1:70" ht="14.4" customHeight="1" x14ac:dyDescent="0.25">
      <c r="A25" s="139">
        <f t="shared" si="12"/>
        <v>4</v>
      </c>
      <c r="B25" s="137">
        <f t="shared" si="12"/>
        <v>0</v>
      </c>
      <c r="C25" s="140">
        <f t="shared" si="12"/>
        <v>0</v>
      </c>
      <c r="D25" s="140">
        <f t="shared" si="12"/>
        <v>0</v>
      </c>
      <c r="E25" s="140" t="str">
        <f t="shared" si="13"/>
        <v/>
      </c>
      <c r="F25" s="137">
        <f t="shared" ref="F25:M25" si="20">IFERROR(IF(AND($B9&gt;0,$C9&gt;0,F21&gt;=$C$2+$D9,MOD(F21-$C$2-$D9,$C9)=0),$B9*(1+$B$76)^(F21-$C$2),0),0)</f>
        <v>0</v>
      </c>
      <c r="G25" s="137">
        <f t="shared" si="20"/>
        <v>0</v>
      </c>
      <c r="H25" s="137">
        <f t="shared" si="20"/>
        <v>0</v>
      </c>
      <c r="I25" s="137">
        <f t="shared" si="20"/>
        <v>0</v>
      </c>
      <c r="J25" s="137">
        <f t="shared" si="20"/>
        <v>0</v>
      </c>
      <c r="K25" s="137">
        <f t="shared" si="20"/>
        <v>0</v>
      </c>
      <c r="L25" s="137">
        <f t="shared" si="20"/>
        <v>0</v>
      </c>
      <c r="M25" s="137">
        <f t="shared" si="20"/>
        <v>0</v>
      </c>
      <c r="O25" s="129"/>
      <c r="P25" s="129"/>
      <c r="Q25" s="129"/>
      <c r="R25" s="129"/>
      <c r="S25" s="129"/>
      <c r="T25" s="129"/>
      <c r="U25" s="129"/>
      <c r="V25" s="129"/>
      <c r="W25" s="129"/>
      <c r="X25" s="129"/>
      <c r="Y25" s="129"/>
      <c r="Z25" s="129"/>
      <c r="AA25" s="129"/>
      <c r="AB25" s="129"/>
      <c r="AC25" s="129"/>
      <c r="AD25" s="148">
        <f t="shared" ref="AD25:BJ25" si="21">IFERROR(IF(AND($B9&gt;0,$C9&gt;0,AD21&gt;=$C$2+$D9,MOD(AD21-$C$2-$D9,$C9)=0),$B9*(1+$B$76)^(AD21-$C$2),0),0)</f>
        <v>0</v>
      </c>
      <c r="AE25" s="148">
        <f t="shared" si="21"/>
        <v>0</v>
      </c>
      <c r="AF25" s="149">
        <f t="shared" si="21"/>
        <v>0</v>
      </c>
      <c r="AG25" s="148">
        <f t="shared" si="21"/>
        <v>0</v>
      </c>
      <c r="AH25" s="148">
        <f t="shared" si="21"/>
        <v>0</v>
      </c>
      <c r="AI25" s="148">
        <f t="shared" si="21"/>
        <v>0</v>
      </c>
      <c r="AJ25" s="148">
        <f t="shared" si="21"/>
        <v>0</v>
      </c>
      <c r="AK25" s="148">
        <f t="shared" si="21"/>
        <v>0</v>
      </c>
      <c r="AL25" s="148">
        <f t="shared" si="21"/>
        <v>0</v>
      </c>
      <c r="AM25" s="149">
        <f t="shared" si="21"/>
        <v>0</v>
      </c>
      <c r="AN25" s="148">
        <f t="shared" si="21"/>
        <v>0</v>
      </c>
      <c r="AO25" s="148">
        <f t="shared" si="21"/>
        <v>0</v>
      </c>
      <c r="AP25" s="148">
        <f t="shared" si="21"/>
        <v>0</v>
      </c>
      <c r="AQ25" s="148">
        <f t="shared" si="21"/>
        <v>0</v>
      </c>
      <c r="AR25" s="148">
        <f t="shared" si="21"/>
        <v>0</v>
      </c>
      <c r="AS25" s="148">
        <f t="shared" si="21"/>
        <v>0</v>
      </c>
      <c r="AT25" s="148">
        <f t="shared" si="21"/>
        <v>0</v>
      </c>
      <c r="AU25" s="148">
        <f t="shared" si="21"/>
        <v>0</v>
      </c>
      <c r="AV25" s="148">
        <f t="shared" si="21"/>
        <v>0</v>
      </c>
      <c r="AW25" s="148">
        <f t="shared" si="21"/>
        <v>0</v>
      </c>
      <c r="AX25" s="148">
        <f t="shared" si="21"/>
        <v>0</v>
      </c>
      <c r="AY25" s="149">
        <f t="shared" si="21"/>
        <v>0</v>
      </c>
      <c r="AZ25" s="148">
        <f t="shared" si="21"/>
        <v>0</v>
      </c>
      <c r="BA25" s="148">
        <f t="shared" si="21"/>
        <v>0</v>
      </c>
      <c r="BB25" s="148">
        <f t="shared" si="21"/>
        <v>0</v>
      </c>
      <c r="BC25" s="148">
        <f t="shared" si="21"/>
        <v>0</v>
      </c>
      <c r="BD25" s="148">
        <f t="shared" si="21"/>
        <v>0</v>
      </c>
      <c r="BE25" s="148">
        <f t="shared" si="21"/>
        <v>0</v>
      </c>
      <c r="BF25" s="148">
        <f t="shared" si="21"/>
        <v>0</v>
      </c>
      <c r="BG25" s="148">
        <f t="shared" si="21"/>
        <v>0</v>
      </c>
      <c r="BH25" s="148">
        <f t="shared" si="21"/>
        <v>0</v>
      </c>
      <c r="BI25" s="148">
        <f t="shared" si="21"/>
        <v>0</v>
      </c>
      <c r="BJ25" s="148">
        <f t="shared" si="21"/>
        <v>0</v>
      </c>
      <c r="BK25" s="150"/>
    </row>
    <row r="26" spans="1:70" ht="14.4" customHeight="1" x14ac:dyDescent="0.25">
      <c r="A26" s="139">
        <f t="shared" si="12"/>
        <v>5</v>
      </c>
      <c r="B26" s="137">
        <f t="shared" si="12"/>
        <v>0</v>
      </c>
      <c r="C26" s="140">
        <f t="shared" si="12"/>
        <v>0</v>
      </c>
      <c r="D26" s="140">
        <f t="shared" si="12"/>
        <v>0</v>
      </c>
      <c r="E26" s="140" t="str">
        <f t="shared" si="13"/>
        <v/>
      </c>
      <c r="F26" s="137">
        <f t="shared" ref="F26:M26" si="22">IFERROR(IF(AND($B10&gt;0,$C10&gt;0,F21&gt;=$C$2+$D10,MOD(F21-$C$2-$D10,$C10)=0),$B10*(1+$B$76)^(F21-$C$2),0),0)</f>
        <v>0</v>
      </c>
      <c r="G26" s="137">
        <f t="shared" si="22"/>
        <v>0</v>
      </c>
      <c r="H26" s="137">
        <f t="shared" si="22"/>
        <v>0</v>
      </c>
      <c r="I26" s="137">
        <f t="shared" si="22"/>
        <v>0</v>
      </c>
      <c r="J26" s="137">
        <f t="shared" si="22"/>
        <v>0</v>
      </c>
      <c r="K26" s="137">
        <f t="shared" si="22"/>
        <v>0</v>
      </c>
      <c r="L26" s="137">
        <f t="shared" si="22"/>
        <v>0</v>
      </c>
      <c r="M26" s="137">
        <f t="shared" si="22"/>
        <v>0</v>
      </c>
      <c r="O26" s="129"/>
      <c r="P26" s="129"/>
      <c r="Q26" s="129"/>
      <c r="R26" s="129"/>
      <c r="S26" s="129"/>
      <c r="T26" s="129"/>
      <c r="U26" s="129"/>
      <c r="V26" s="129"/>
      <c r="W26" s="129"/>
      <c r="X26" s="129"/>
      <c r="Y26" s="129"/>
      <c r="Z26" s="129"/>
      <c r="AA26" s="129"/>
      <c r="AB26" s="129"/>
      <c r="AC26" s="129"/>
      <c r="AD26" s="148">
        <f t="shared" ref="AD26:BJ26" si="23">IFERROR(IF(AND($B10&gt;0,$C10&gt;0,AD21&gt;=$C$2+$D10,MOD(AD21-$C$2-$D10,$C10)=0),$B10*(1+$B$76)^(AD21-$C$2),0),0)</f>
        <v>0</v>
      </c>
      <c r="AE26" s="148">
        <f t="shared" si="23"/>
        <v>0</v>
      </c>
      <c r="AF26" s="149">
        <f t="shared" si="23"/>
        <v>0</v>
      </c>
      <c r="AG26" s="148">
        <f t="shared" si="23"/>
        <v>0</v>
      </c>
      <c r="AH26" s="148">
        <f t="shared" si="23"/>
        <v>0</v>
      </c>
      <c r="AI26" s="148">
        <f t="shared" si="23"/>
        <v>0</v>
      </c>
      <c r="AJ26" s="148">
        <f t="shared" si="23"/>
        <v>0</v>
      </c>
      <c r="AK26" s="148">
        <f t="shared" si="23"/>
        <v>0</v>
      </c>
      <c r="AL26" s="148">
        <f t="shared" si="23"/>
        <v>0</v>
      </c>
      <c r="AM26" s="149">
        <f t="shared" si="23"/>
        <v>0</v>
      </c>
      <c r="AN26" s="148">
        <f t="shared" si="23"/>
        <v>0</v>
      </c>
      <c r="AO26" s="148">
        <f t="shared" si="23"/>
        <v>0</v>
      </c>
      <c r="AP26" s="148">
        <f t="shared" si="23"/>
        <v>0</v>
      </c>
      <c r="AQ26" s="148">
        <f t="shared" si="23"/>
        <v>0</v>
      </c>
      <c r="AR26" s="148">
        <f t="shared" si="23"/>
        <v>0</v>
      </c>
      <c r="AS26" s="148">
        <f t="shared" si="23"/>
        <v>0</v>
      </c>
      <c r="AT26" s="148">
        <f t="shared" si="23"/>
        <v>0</v>
      </c>
      <c r="AU26" s="148">
        <f t="shared" si="23"/>
        <v>0</v>
      </c>
      <c r="AV26" s="148">
        <f t="shared" si="23"/>
        <v>0</v>
      </c>
      <c r="AW26" s="148">
        <f t="shared" si="23"/>
        <v>0</v>
      </c>
      <c r="AX26" s="148">
        <f t="shared" si="23"/>
        <v>0</v>
      </c>
      <c r="AY26" s="149">
        <f t="shared" si="23"/>
        <v>0</v>
      </c>
      <c r="AZ26" s="148">
        <f t="shared" si="23"/>
        <v>0</v>
      </c>
      <c r="BA26" s="148">
        <f t="shared" si="23"/>
        <v>0</v>
      </c>
      <c r="BB26" s="148">
        <f t="shared" si="23"/>
        <v>0</v>
      </c>
      <c r="BC26" s="148">
        <f t="shared" si="23"/>
        <v>0</v>
      </c>
      <c r="BD26" s="148">
        <f t="shared" si="23"/>
        <v>0</v>
      </c>
      <c r="BE26" s="148">
        <f t="shared" si="23"/>
        <v>0</v>
      </c>
      <c r="BF26" s="148">
        <f t="shared" si="23"/>
        <v>0</v>
      </c>
      <c r="BG26" s="148">
        <f t="shared" si="23"/>
        <v>0</v>
      </c>
      <c r="BH26" s="148">
        <f t="shared" si="23"/>
        <v>0</v>
      </c>
      <c r="BI26" s="148">
        <f t="shared" si="23"/>
        <v>0</v>
      </c>
      <c r="BJ26" s="148">
        <f t="shared" si="23"/>
        <v>0</v>
      </c>
      <c r="BK26" s="150"/>
    </row>
    <row r="27" spans="1:70" ht="14.4" customHeight="1" x14ac:dyDescent="0.25">
      <c r="A27" s="139">
        <f t="shared" si="12"/>
        <v>6</v>
      </c>
      <c r="B27" s="137">
        <f t="shared" si="12"/>
        <v>0</v>
      </c>
      <c r="C27" s="140">
        <f t="shared" si="12"/>
        <v>0</v>
      </c>
      <c r="D27" s="140">
        <f t="shared" si="12"/>
        <v>0</v>
      </c>
      <c r="E27" s="140" t="str">
        <f t="shared" si="13"/>
        <v/>
      </c>
      <c r="F27" s="137">
        <f t="shared" ref="F27:M27" si="24">IFERROR(IF(AND($B11&gt;0,$C11&gt;0,F21&gt;=$C$2+$D11,MOD(F21-$C$2-$D11,$C11)=0),$B11*(1+$B$76)^(F21-$C$2),0),0)</f>
        <v>0</v>
      </c>
      <c r="G27" s="137">
        <f t="shared" si="24"/>
        <v>0</v>
      </c>
      <c r="H27" s="137">
        <f t="shared" si="24"/>
        <v>0</v>
      </c>
      <c r="I27" s="137">
        <f t="shared" si="24"/>
        <v>0</v>
      </c>
      <c r="J27" s="137">
        <f t="shared" si="24"/>
        <v>0</v>
      </c>
      <c r="K27" s="137">
        <f t="shared" si="24"/>
        <v>0</v>
      </c>
      <c r="L27" s="137">
        <f t="shared" si="24"/>
        <v>0</v>
      </c>
      <c r="M27" s="137">
        <f t="shared" si="24"/>
        <v>0</v>
      </c>
      <c r="O27" s="129"/>
      <c r="P27" s="129"/>
      <c r="Q27" s="129"/>
      <c r="R27" s="129"/>
      <c r="S27" s="129"/>
      <c r="T27" s="129"/>
      <c r="U27" s="129"/>
      <c r="V27" s="129"/>
      <c r="W27" s="129"/>
      <c r="X27" s="129"/>
      <c r="Y27" s="129"/>
      <c r="Z27" s="129"/>
      <c r="AA27" s="129"/>
      <c r="AB27" s="129"/>
      <c r="AC27" s="129"/>
      <c r="AD27" s="148">
        <f t="shared" ref="AD27:BJ27" si="25">IFERROR(IF(AND($B11&gt;0,$C11&gt;0,AD21&gt;=$C$2+$D11,MOD(AD21-$C$2-$D11,$C11)=0),$B11*(1+$B$76)^(AD21-$C$2),0),0)</f>
        <v>0</v>
      </c>
      <c r="AE27" s="148">
        <f t="shared" si="25"/>
        <v>0</v>
      </c>
      <c r="AF27" s="149">
        <f t="shared" si="25"/>
        <v>0</v>
      </c>
      <c r="AG27" s="148">
        <f t="shared" si="25"/>
        <v>0</v>
      </c>
      <c r="AH27" s="148">
        <f t="shared" si="25"/>
        <v>0</v>
      </c>
      <c r="AI27" s="148">
        <f t="shared" si="25"/>
        <v>0</v>
      </c>
      <c r="AJ27" s="148">
        <f t="shared" si="25"/>
        <v>0</v>
      </c>
      <c r="AK27" s="148">
        <f t="shared" si="25"/>
        <v>0</v>
      </c>
      <c r="AL27" s="148">
        <f t="shared" si="25"/>
        <v>0</v>
      </c>
      <c r="AM27" s="149">
        <f t="shared" si="25"/>
        <v>0</v>
      </c>
      <c r="AN27" s="148">
        <f t="shared" si="25"/>
        <v>0</v>
      </c>
      <c r="AO27" s="148">
        <f t="shared" si="25"/>
        <v>0</v>
      </c>
      <c r="AP27" s="148">
        <f t="shared" si="25"/>
        <v>0</v>
      </c>
      <c r="AQ27" s="148">
        <f t="shared" si="25"/>
        <v>0</v>
      </c>
      <c r="AR27" s="148">
        <f t="shared" si="25"/>
        <v>0</v>
      </c>
      <c r="AS27" s="148">
        <f t="shared" si="25"/>
        <v>0</v>
      </c>
      <c r="AT27" s="148">
        <f t="shared" si="25"/>
        <v>0</v>
      </c>
      <c r="AU27" s="148">
        <f t="shared" si="25"/>
        <v>0</v>
      </c>
      <c r="AV27" s="148">
        <f t="shared" si="25"/>
        <v>0</v>
      </c>
      <c r="AW27" s="148">
        <f t="shared" si="25"/>
        <v>0</v>
      </c>
      <c r="AX27" s="148">
        <f t="shared" si="25"/>
        <v>0</v>
      </c>
      <c r="AY27" s="149">
        <f t="shared" si="25"/>
        <v>0</v>
      </c>
      <c r="AZ27" s="148">
        <f t="shared" si="25"/>
        <v>0</v>
      </c>
      <c r="BA27" s="148">
        <f t="shared" si="25"/>
        <v>0</v>
      </c>
      <c r="BB27" s="148">
        <f t="shared" si="25"/>
        <v>0</v>
      </c>
      <c r="BC27" s="148">
        <f t="shared" si="25"/>
        <v>0</v>
      </c>
      <c r="BD27" s="148">
        <f t="shared" si="25"/>
        <v>0</v>
      </c>
      <c r="BE27" s="148">
        <f t="shared" si="25"/>
        <v>0</v>
      </c>
      <c r="BF27" s="148">
        <f t="shared" si="25"/>
        <v>0</v>
      </c>
      <c r="BG27" s="148">
        <f t="shared" si="25"/>
        <v>0</v>
      </c>
      <c r="BH27" s="148">
        <f t="shared" si="25"/>
        <v>0</v>
      </c>
      <c r="BI27" s="148">
        <f t="shared" si="25"/>
        <v>0</v>
      </c>
      <c r="BJ27" s="148">
        <f t="shared" si="25"/>
        <v>0</v>
      </c>
      <c r="BK27" s="150"/>
    </row>
    <row r="28" spans="1:70" ht="14.4" customHeight="1" x14ac:dyDescent="0.25">
      <c r="A28" s="129"/>
      <c r="B28" s="83"/>
      <c r="C28" s="83"/>
      <c r="D28" s="83"/>
      <c r="E28" s="83"/>
      <c r="F28" s="140"/>
      <c r="G28" s="140"/>
      <c r="H28" s="140"/>
      <c r="I28" s="140"/>
      <c r="J28" s="140"/>
      <c r="K28" s="140"/>
      <c r="L28" s="140"/>
      <c r="M28" s="140"/>
      <c r="N28" s="129"/>
      <c r="O28" s="129"/>
      <c r="P28" s="129"/>
      <c r="Q28" s="129"/>
      <c r="R28" s="129"/>
      <c r="S28" s="129"/>
      <c r="T28" s="129"/>
      <c r="U28" s="129"/>
      <c r="V28" s="129"/>
      <c r="W28" s="129"/>
      <c r="X28" s="129"/>
      <c r="Y28" s="129"/>
      <c r="Z28" s="129"/>
      <c r="AA28" s="129"/>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9"/>
      <c r="BR28" s="79"/>
    </row>
    <row r="29" spans="1:70" ht="12" customHeight="1" x14ac:dyDescent="0.25">
      <c r="A29" s="129"/>
      <c r="B29" s="141"/>
      <c r="C29" s="85"/>
      <c r="D29" s="85"/>
      <c r="E29" s="85"/>
      <c r="F29" s="85"/>
      <c r="G29" s="85"/>
      <c r="H29" s="85"/>
      <c r="I29" s="85"/>
      <c r="J29" s="85"/>
      <c r="K29" s="85"/>
      <c r="L29" s="85"/>
      <c r="M29" s="85"/>
      <c r="O29" s="129"/>
      <c r="P29" s="129"/>
      <c r="Q29" s="129"/>
      <c r="R29" s="129"/>
      <c r="S29" s="129"/>
      <c r="T29" s="129"/>
      <c r="U29" s="129"/>
      <c r="V29" s="129"/>
      <c r="W29" s="129"/>
      <c r="X29" s="129"/>
      <c r="Y29" s="129"/>
      <c r="Z29" s="129"/>
      <c r="AA29" s="129"/>
      <c r="AB29" s="129"/>
      <c r="AC29" s="129"/>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row>
    <row r="30" spans="1:70" ht="14.4" customHeight="1" x14ac:dyDescent="0.25">
      <c r="A30" s="129" t="str">
        <f>A14</f>
        <v>Beginning Cash Balance</v>
      </c>
      <c r="B30" s="83"/>
      <c r="C30" s="83"/>
      <c r="D30" s="83"/>
      <c r="E30" s="83"/>
      <c r="F30" s="140">
        <f>M18</f>
        <v>280000</v>
      </c>
      <c r="G30" s="140">
        <f t="shared" ref="G30:M30" si="26">F34</f>
        <v>290000</v>
      </c>
      <c r="H30" s="140">
        <f t="shared" si="26"/>
        <v>300000</v>
      </c>
      <c r="I30" s="140">
        <f t="shared" si="26"/>
        <v>310000</v>
      </c>
      <c r="J30" s="140">
        <f t="shared" si="26"/>
        <v>320000</v>
      </c>
      <c r="K30" s="140">
        <f t="shared" si="26"/>
        <v>330000</v>
      </c>
      <c r="L30" s="140">
        <f t="shared" si="26"/>
        <v>340000</v>
      </c>
      <c r="M30" s="140">
        <f t="shared" si="26"/>
        <v>350000</v>
      </c>
      <c r="O30" s="129"/>
      <c r="P30" s="129"/>
      <c r="Q30" s="129"/>
      <c r="R30" s="129"/>
      <c r="S30" s="129"/>
      <c r="T30" s="129"/>
      <c r="U30" s="129"/>
      <c r="V30" s="129"/>
      <c r="W30" s="129"/>
      <c r="X30" s="129"/>
      <c r="Y30" s="129"/>
      <c r="Z30" s="129"/>
      <c r="AA30" s="129"/>
      <c r="AB30" s="129"/>
      <c r="AC30" s="129"/>
      <c r="AD30" s="140">
        <f>M69</f>
        <v>520000</v>
      </c>
      <c r="AE30" s="140">
        <f t="shared" ref="AE30:BJ30" si="27">AD34</f>
        <v>530000</v>
      </c>
      <c r="AF30" s="140">
        <f t="shared" si="27"/>
        <v>540000</v>
      </c>
      <c r="AG30" s="140">
        <f t="shared" si="27"/>
        <v>550000</v>
      </c>
      <c r="AH30" s="140">
        <f t="shared" si="27"/>
        <v>560000</v>
      </c>
      <c r="AI30" s="140">
        <f t="shared" si="27"/>
        <v>570000</v>
      </c>
      <c r="AJ30" s="140">
        <f t="shared" si="27"/>
        <v>580000</v>
      </c>
      <c r="AK30" s="140">
        <f t="shared" si="27"/>
        <v>590000</v>
      </c>
      <c r="AL30" s="140">
        <f t="shared" si="27"/>
        <v>600000</v>
      </c>
      <c r="AM30" s="140">
        <f t="shared" si="27"/>
        <v>610000</v>
      </c>
      <c r="AN30" s="140">
        <f t="shared" si="27"/>
        <v>620000</v>
      </c>
      <c r="AO30" s="140">
        <f t="shared" si="27"/>
        <v>630000</v>
      </c>
      <c r="AP30" s="140">
        <f t="shared" si="27"/>
        <v>640000</v>
      </c>
      <c r="AQ30" s="140">
        <f t="shared" si="27"/>
        <v>650000</v>
      </c>
      <c r="AR30" s="140">
        <f t="shared" si="27"/>
        <v>660000</v>
      </c>
      <c r="AS30" s="140">
        <f t="shared" si="27"/>
        <v>670000</v>
      </c>
      <c r="AT30" s="140">
        <f t="shared" si="27"/>
        <v>680000</v>
      </c>
      <c r="AU30" s="140">
        <f t="shared" si="27"/>
        <v>690000</v>
      </c>
      <c r="AV30" s="140">
        <f t="shared" si="27"/>
        <v>700000</v>
      </c>
      <c r="AW30" s="140">
        <f t="shared" si="27"/>
        <v>710000</v>
      </c>
      <c r="AX30" s="140">
        <f t="shared" si="27"/>
        <v>720000</v>
      </c>
      <c r="AY30" s="140">
        <f t="shared" si="27"/>
        <v>730000</v>
      </c>
      <c r="AZ30" s="140">
        <f t="shared" si="27"/>
        <v>740000</v>
      </c>
      <c r="BA30" s="140">
        <f t="shared" si="27"/>
        <v>750000</v>
      </c>
      <c r="BB30" s="140">
        <f t="shared" si="27"/>
        <v>760000</v>
      </c>
      <c r="BC30" s="140">
        <f t="shared" si="27"/>
        <v>770000</v>
      </c>
      <c r="BD30" s="140">
        <f t="shared" si="27"/>
        <v>780000</v>
      </c>
      <c r="BE30" s="140">
        <f t="shared" si="27"/>
        <v>790000</v>
      </c>
      <c r="BF30" s="140">
        <f t="shared" si="27"/>
        <v>800000</v>
      </c>
      <c r="BG30" s="140">
        <f t="shared" si="27"/>
        <v>810000</v>
      </c>
      <c r="BH30" s="140">
        <f t="shared" si="27"/>
        <v>820000</v>
      </c>
      <c r="BI30" s="140">
        <f t="shared" si="27"/>
        <v>830000</v>
      </c>
      <c r="BJ30" s="140">
        <f t="shared" si="27"/>
        <v>840000</v>
      </c>
    </row>
    <row r="31" spans="1:70" ht="14.4" customHeight="1" x14ac:dyDescent="0.3">
      <c r="A31" s="129" t="str">
        <f>A15</f>
        <v>Annual Reserve Contribution</v>
      </c>
      <c r="E31" s="92"/>
      <c r="F31" s="142">
        <f>M15</f>
        <v>10000</v>
      </c>
      <c r="G31" s="142">
        <f t="shared" ref="G31:M31" si="28">F31</f>
        <v>10000</v>
      </c>
      <c r="H31" s="142">
        <f t="shared" si="28"/>
        <v>10000</v>
      </c>
      <c r="I31" s="142">
        <f t="shared" si="28"/>
        <v>10000</v>
      </c>
      <c r="J31" s="142">
        <f t="shared" si="28"/>
        <v>10000</v>
      </c>
      <c r="K31" s="142">
        <f t="shared" si="28"/>
        <v>10000</v>
      </c>
      <c r="L31" s="142">
        <f t="shared" si="28"/>
        <v>10000</v>
      </c>
      <c r="M31" s="142">
        <f t="shared" si="28"/>
        <v>10000</v>
      </c>
      <c r="O31" s="129"/>
      <c r="P31" s="129"/>
      <c r="Q31" s="129"/>
      <c r="R31" s="129"/>
      <c r="S31" s="129"/>
      <c r="T31" s="129"/>
      <c r="U31" s="129"/>
      <c r="V31" s="129"/>
      <c r="W31" s="129"/>
      <c r="X31" s="129"/>
      <c r="Y31" s="129"/>
      <c r="Z31" s="129"/>
      <c r="AA31" s="129"/>
      <c r="AB31" s="129"/>
      <c r="AC31" s="129"/>
      <c r="AD31" s="140">
        <f>M66</f>
        <v>10000</v>
      </c>
      <c r="AE31" s="140">
        <f t="shared" ref="AE31:BJ31" si="29">AD31</f>
        <v>10000</v>
      </c>
      <c r="AF31" s="140">
        <f t="shared" si="29"/>
        <v>10000</v>
      </c>
      <c r="AG31" s="140">
        <f t="shared" si="29"/>
        <v>10000</v>
      </c>
      <c r="AH31" s="140">
        <f t="shared" si="29"/>
        <v>10000</v>
      </c>
      <c r="AI31" s="140">
        <f t="shared" si="29"/>
        <v>10000</v>
      </c>
      <c r="AJ31" s="140">
        <f t="shared" si="29"/>
        <v>10000</v>
      </c>
      <c r="AK31" s="140">
        <f t="shared" si="29"/>
        <v>10000</v>
      </c>
      <c r="AL31" s="140">
        <f t="shared" si="29"/>
        <v>10000</v>
      </c>
      <c r="AM31" s="140">
        <f t="shared" si="29"/>
        <v>10000</v>
      </c>
      <c r="AN31" s="140">
        <f t="shared" si="29"/>
        <v>10000</v>
      </c>
      <c r="AO31" s="140">
        <f t="shared" si="29"/>
        <v>10000</v>
      </c>
      <c r="AP31" s="140">
        <f t="shared" si="29"/>
        <v>10000</v>
      </c>
      <c r="AQ31" s="140">
        <f t="shared" si="29"/>
        <v>10000</v>
      </c>
      <c r="AR31" s="140">
        <f t="shared" si="29"/>
        <v>10000</v>
      </c>
      <c r="AS31" s="140">
        <f t="shared" si="29"/>
        <v>10000</v>
      </c>
      <c r="AT31" s="140">
        <f t="shared" si="29"/>
        <v>10000</v>
      </c>
      <c r="AU31" s="140">
        <f t="shared" si="29"/>
        <v>10000</v>
      </c>
      <c r="AV31" s="140">
        <f t="shared" si="29"/>
        <v>10000</v>
      </c>
      <c r="AW31" s="140">
        <f t="shared" si="29"/>
        <v>10000</v>
      </c>
      <c r="AX31" s="140">
        <f t="shared" si="29"/>
        <v>10000</v>
      </c>
      <c r="AY31" s="140">
        <f t="shared" si="29"/>
        <v>10000</v>
      </c>
      <c r="AZ31" s="140">
        <f t="shared" si="29"/>
        <v>10000</v>
      </c>
      <c r="BA31" s="140">
        <f t="shared" si="29"/>
        <v>10000</v>
      </c>
      <c r="BB31" s="140">
        <f t="shared" si="29"/>
        <v>10000</v>
      </c>
      <c r="BC31" s="140">
        <f t="shared" si="29"/>
        <v>10000</v>
      </c>
      <c r="BD31" s="140">
        <f t="shared" si="29"/>
        <v>10000</v>
      </c>
      <c r="BE31" s="140">
        <f t="shared" si="29"/>
        <v>10000</v>
      </c>
      <c r="BF31" s="140">
        <f t="shared" si="29"/>
        <v>10000</v>
      </c>
      <c r="BG31" s="140">
        <f t="shared" si="29"/>
        <v>10000</v>
      </c>
      <c r="BH31" s="140">
        <f t="shared" si="29"/>
        <v>10000</v>
      </c>
      <c r="BI31" s="140">
        <f t="shared" si="29"/>
        <v>10000</v>
      </c>
      <c r="BJ31" s="140">
        <f t="shared" si="29"/>
        <v>10000</v>
      </c>
    </row>
    <row r="32" spans="1:70" ht="14.4" customHeight="1" x14ac:dyDescent="0.3">
      <c r="A32" s="129" t="str">
        <f>A16</f>
        <v>Projected Shortfall to Next Funding Gap</v>
      </c>
      <c r="E32" s="144"/>
      <c r="F32" s="145">
        <f t="shared" ref="F32:L32" si="30">IF(MAX(0,F33-F30-F31)&gt;0,MAX(0,F33-F30-F31),IF(G32&gt;0,G32+G31,0))</f>
        <v>0</v>
      </c>
      <c r="G32" s="145">
        <f t="shared" si="30"/>
        <v>0</v>
      </c>
      <c r="H32" s="145">
        <f t="shared" si="30"/>
        <v>0</v>
      </c>
      <c r="I32" s="145">
        <f t="shared" si="30"/>
        <v>0</v>
      </c>
      <c r="J32" s="145">
        <f t="shared" si="30"/>
        <v>0</v>
      </c>
      <c r="K32" s="145">
        <f t="shared" si="30"/>
        <v>0</v>
      </c>
      <c r="L32" s="145">
        <f t="shared" si="30"/>
        <v>0</v>
      </c>
      <c r="M32" s="145">
        <f>IF(MAX(0,M33-M30-M31)&gt;0,MAX(0,M33-M30-M31),IF(F51&gt;0,F51+F50,0))</f>
        <v>0</v>
      </c>
      <c r="N32" s="144"/>
      <c r="O32" s="129"/>
      <c r="P32" s="129"/>
      <c r="Q32" s="129"/>
      <c r="R32" s="129"/>
      <c r="S32" s="129"/>
      <c r="T32" s="129"/>
      <c r="U32" s="129"/>
      <c r="V32" s="129"/>
      <c r="W32" s="129"/>
      <c r="X32" s="129"/>
      <c r="Y32" s="129"/>
      <c r="Z32" s="129"/>
      <c r="AA32" s="129"/>
      <c r="AB32" s="129"/>
      <c r="AC32" s="129"/>
      <c r="AD32" s="140">
        <f t="shared" ref="AD32:BI32" si="31">IF(MAX(0,AD33-AD30-AD31)&gt;0,MAX(0,AD33-AD30-AD31),IF(AE32&gt;0,AE32+AE31,0))</f>
        <v>0</v>
      </c>
      <c r="AE32" s="140">
        <f t="shared" si="31"/>
        <v>0</v>
      </c>
      <c r="AF32" s="140">
        <f t="shared" si="31"/>
        <v>0</v>
      </c>
      <c r="AG32" s="140">
        <f t="shared" si="31"/>
        <v>0</v>
      </c>
      <c r="AH32" s="140">
        <f t="shared" si="31"/>
        <v>0</v>
      </c>
      <c r="AI32" s="140">
        <f t="shared" si="31"/>
        <v>0</v>
      </c>
      <c r="AJ32" s="140">
        <f t="shared" si="31"/>
        <v>0</v>
      </c>
      <c r="AK32" s="140">
        <f t="shared" si="31"/>
        <v>0</v>
      </c>
      <c r="AL32" s="140">
        <f t="shared" si="31"/>
        <v>0</v>
      </c>
      <c r="AM32" s="140">
        <f t="shared" si="31"/>
        <v>0</v>
      </c>
      <c r="AN32" s="140">
        <f t="shared" si="31"/>
        <v>0</v>
      </c>
      <c r="AO32" s="140">
        <f t="shared" si="31"/>
        <v>0</v>
      </c>
      <c r="AP32" s="140">
        <f t="shared" si="31"/>
        <v>0</v>
      </c>
      <c r="AQ32" s="140">
        <f t="shared" si="31"/>
        <v>0</v>
      </c>
      <c r="AR32" s="140">
        <f t="shared" si="31"/>
        <v>0</v>
      </c>
      <c r="AS32" s="140">
        <f t="shared" si="31"/>
        <v>0</v>
      </c>
      <c r="AT32" s="140">
        <f t="shared" si="31"/>
        <v>0</v>
      </c>
      <c r="AU32" s="140">
        <f t="shared" si="31"/>
        <v>0</v>
      </c>
      <c r="AV32" s="140">
        <f t="shared" si="31"/>
        <v>0</v>
      </c>
      <c r="AW32" s="140">
        <f t="shared" si="31"/>
        <v>0</v>
      </c>
      <c r="AX32" s="140">
        <f t="shared" si="31"/>
        <v>0</v>
      </c>
      <c r="AY32" s="140">
        <f t="shared" si="31"/>
        <v>0</v>
      </c>
      <c r="AZ32" s="140">
        <f t="shared" si="31"/>
        <v>0</v>
      </c>
      <c r="BA32" s="140">
        <f t="shared" si="31"/>
        <v>0</v>
      </c>
      <c r="BB32" s="140">
        <f t="shared" si="31"/>
        <v>0</v>
      </c>
      <c r="BC32" s="140">
        <f t="shared" si="31"/>
        <v>0</v>
      </c>
      <c r="BD32" s="140">
        <f t="shared" si="31"/>
        <v>0</v>
      </c>
      <c r="BE32" s="140">
        <f t="shared" si="31"/>
        <v>0</v>
      </c>
      <c r="BF32" s="140">
        <f t="shared" si="31"/>
        <v>0</v>
      </c>
      <c r="BG32" s="140">
        <f t="shared" si="31"/>
        <v>0</v>
      </c>
      <c r="BH32" s="140">
        <f t="shared" si="31"/>
        <v>0</v>
      </c>
      <c r="BI32" s="140">
        <f t="shared" si="31"/>
        <v>0</v>
      </c>
      <c r="BJ32" s="140">
        <f>MAX(0,BJ33-BJ30-BJ31)</f>
        <v>0</v>
      </c>
    </row>
    <row r="33" spans="1:62" ht="14.4" customHeight="1" x14ac:dyDescent="0.25">
      <c r="A33" s="129" t="str">
        <f>A17</f>
        <v>Total Expenditures</v>
      </c>
      <c r="F33" s="140">
        <f t="shared" ref="F33:M33" si="32">SUM(F22:F27)</f>
        <v>0</v>
      </c>
      <c r="G33" s="140">
        <f t="shared" si="32"/>
        <v>0</v>
      </c>
      <c r="H33" s="140">
        <f t="shared" si="32"/>
        <v>0</v>
      </c>
      <c r="I33" s="140">
        <f t="shared" si="32"/>
        <v>0</v>
      </c>
      <c r="J33" s="140">
        <f t="shared" si="32"/>
        <v>0</v>
      </c>
      <c r="K33" s="140">
        <f t="shared" si="32"/>
        <v>0</v>
      </c>
      <c r="L33" s="140">
        <f t="shared" si="32"/>
        <v>0</v>
      </c>
      <c r="M33" s="140">
        <f t="shared" si="32"/>
        <v>0</v>
      </c>
      <c r="O33" s="129"/>
      <c r="P33" s="129"/>
      <c r="Q33" s="129"/>
      <c r="R33" s="129"/>
      <c r="S33" s="129"/>
      <c r="T33" s="129"/>
      <c r="U33" s="129"/>
      <c r="V33" s="129"/>
      <c r="W33" s="129"/>
      <c r="X33" s="129"/>
      <c r="Y33" s="129"/>
      <c r="Z33" s="129"/>
      <c r="AA33" s="129"/>
      <c r="AB33" s="129"/>
      <c r="AC33" s="129"/>
      <c r="AD33" s="140">
        <f t="shared" ref="AD33:BJ33" si="33">SUM(AD22:AD27)</f>
        <v>0</v>
      </c>
      <c r="AE33" s="140">
        <f t="shared" si="33"/>
        <v>0</v>
      </c>
      <c r="AF33" s="140">
        <f t="shared" si="33"/>
        <v>0</v>
      </c>
      <c r="AG33" s="140">
        <f t="shared" si="33"/>
        <v>0</v>
      </c>
      <c r="AH33" s="140">
        <f t="shared" si="33"/>
        <v>0</v>
      </c>
      <c r="AI33" s="140">
        <f t="shared" si="33"/>
        <v>0</v>
      </c>
      <c r="AJ33" s="140">
        <f t="shared" si="33"/>
        <v>0</v>
      </c>
      <c r="AK33" s="140">
        <f t="shared" si="33"/>
        <v>0</v>
      </c>
      <c r="AL33" s="140">
        <f t="shared" si="33"/>
        <v>0</v>
      </c>
      <c r="AM33" s="140">
        <f t="shared" si="33"/>
        <v>0</v>
      </c>
      <c r="AN33" s="140">
        <f t="shared" si="33"/>
        <v>0</v>
      </c>
      <c r="AO33" s="140">
        <f t="shared" si="33"/>
        <v>0</v>
      </c>
      <c r="AP33" s="140">
        <f t="shared" si="33"/>
        <v>0</v>
      </c>
      <c r="AQ33" s="140">
        <f t="shared" si="33"/>
        <v>0</v>
      </c>
      <c r="AR33" s="140">
        <f t="shared" si="33"/>
        <v>0</v>
      </c>
      <c r="AS33" s="140">
        <f t="shared" si="33"/>
        <v>0</v>
      </c>
      <c r="AT33" s="140">
        <f t="shared" si="33"/>
        <v>0</v>
      </c>
      <c r="AU33" s="140">
        <f t="shared" si="33"/>
        <v>0</v>
      </c>
      <c r="AV33" s="140">
        <f t="shared" si="33"/>
        <v>0</v>
      </c>
      <c r="AW33" s="140">
        <f t="shared" si="33"/>
        <v>0</v>
      </c>
      <c r="AX33" s="140">
        <f t="shared" si="33"/>
        <v>0</v>
      </c>
      <c r="AY33" s="140">
        <f t="shared" si="33"/>
        <v>0</v>
      </c>
      <c r="AZ33" s="140">
        <f t="shared" si="33"/>
        <v>0</v>
      </c>
      <c r="BA33" s="140">
        <f t="shared" si="33"/>
        <v>0</v>
      </c>
      <c r="BB33" s="140">
        <f t="shared" si="33"/>
        <v>0</v>
      </c>
      <c r="BC33" s="140">
        <f t="shared" si="33"/>
        <v>0</v>
      </c>
      <c r="BD33" s="140">
        <f t="shared" si="33"/>
        <v>0</v>
      </c>
      <c r="BE33" s="140">
        <f t="shared" si="33"/>
        <v>0</v>
      </c>
      <c r="BF33" s="140">
        <f t="shared" si="33"/>
        <v>0</v>
      </c>
      <c r="BG33" s="140">
        <f t="shared" si="33"/>
        <v>0</v>
      </c>
      <c r="BH33" s="140">
        <f t="shared" si="33"/>
        <v>0</v>
      </c>
      <c r="BI33" s="140">
        <f t="shared" si="33"/>
        <v>0</v>
      </c>
      <c r="BJ33" s="140">
        <f t="shared" si="33"/>
        <v>0</v>
      </c>
    </row>
    <row r="34" spans="1:62" ht="14.4" customHeight="1" x14ac:dyDescent="0.3">
      <c r="A34" s="129" t="str">
        <f>A18</f>
        <v>Ending Cash (Assumes Gap Funded)</v>
      </c>
      <c r="B34" s="83"/>
      <c r="C34" s="83"/>
      <c r="D34" s="83"/>
      <c r="E34" s="91"/>
      <c r="F34" s="142">
        <f t="shared" ref="F34:M34" si="34">F30+F31+MAX(0,F33-F30-F31)-F33</f>
        <v>290000</v>
      </c>
      <c r="G34" s="142">
        <f t="shared" si="34"/>
        <v>300000</v>
      </c>
      <c r="H34" s="142">
        <f t="shared" si="34"/>
        <v>310000</v>
      </c>
      <c r="I34" s="142">
        <f t="shared" si="34"/>
        <v>320000</v>
      </c>
      <c r="J34" s="142">
        <f t="shared" si="34"/>
        <v>330000</v>
      </c>
      <c r="K34" s="142">
        <f t="shared" si="34"/>
        <v>340000</v>
      </c>
      <c r="L34" s="142">
        <f t="shared" si="34"/>
        <v>350000</v>
      </c>
      <c r="M34" s="142">
        <f t="shared" si="34"/>
        <v>360000</v>
      </c>
      <c r="N34" s="92"/>
      <c r="O34" s="129"/>
      <c r="P34" s="129"/>
      <c r="Q34" s="129"/>
      <c r="R34" s="129"/>
      <c r="S34" s="129"/>
      <c r="T34" s="129"/>
      <c r="U34" s="129"/>
      <c r="V34" s="129"/>
      <c r="W34" s="129"/>
      <c r="X34" s="129"/>
      <c r="Y34" s="129"/>
      <c r="Z34" s="129"/>
      <c r="AA34" s="129"/>
      <c r="AB34" s="129"/>
      <c r="AC34" s="129"/>
      <c r="AD34" s="140">
        <f t="shared" ref="AD34:BJ34" si="35">AD30+AD31+MAX(0,AD33-AD30-AD31)-AD33</f>
        <v>530000</v>
      </c>
      <c r="AE34" s="140">
        <f t="shared" si="35"/>
        <v>540000</v>
      </c>
      <c r="AF34" s="140">
        <f t="shared" si="35"/>
        <v>550000</v>
      </c>
      <c r="AG34" s="140">
        <f t="shared" si="35"/>
        <v>560000</v>
      </c>
      <c r="AH34" s="140">
        <f t="shared" si="35"/>
        <v>570000</v>
      </c>
      <c r="AI34" s="140">
        <f t="shared" si="35"/>
        <v>580000</v>
      </c>
      <c r="AJ34" s="140">
        <f t="shared" si="35"/>
        <v>590000</v>
      </c>
      <c r="AK34" s="140">
        <f t="shared" si="35"/>
        <v>600000</v>
      </c>
      <c r="AL34" s="140">
        <f t="shared" si="35"/>
        <v>610000</v>
      </c>
      <c r="AM34" s="140">
        <f t="shared" si="35"/>
        <v>620000</v>
      </c>
      <c r="AN34" s="140">
        <f t="shared" si="35"/>
        <v>630000</v>
      </c>
      <c r="AO34" s="140">
        <f t="shared" si="35"/>
        <v>640000</v>
      </c>
      <c r="AP34" s="140">
        <f t="shared" si="35"/>
        <v>650000</v>
      </c>
      <c r="AQ34" s="140">
        <f t="shared" si="35"/>
        <v>660000</v>
      </c>
      <c r="AR34" s="140">
        <f t="shared" si="35"/>
        <v>670000</v>
      </c>
      <c r="AS34" s="140">
        <f t="shared" si="35"/>
        <v>680000</v>
      </c>
      <c r="AT34" s="140">
        <f t="shared" si="35"/>
        <v>690000</v>
      </c>
      <c r="AU34" s="140">
        <f t="shared" si="35"/>
        <v>700000</v>
      </c>
      <c r="AV34" s="140">
        <f t="shared" si="35"/>
        <v>710000</v>
      </c>
      <c r="AW34" s="140">
        <f t="shared" si="35"/>
        <v>720000</v>
      </c>
      <c r="AX34" s="140">
        <f t="shared" si="35"/>
        <v>730000</v>
      </c>
      <c r="AY34" s="140">
        <f t="shared" si="35"/>
        <v>740000</v>
      </c>
      <c r="AZ34" s="140">
        <f t="shared" si="35"/>
        <v>750000</v>
      </c>
      <c r="BA34" s="140">
        <f t="shared" si="35"/>
        <v>760000</v>
      </c>
      <c r="BB34" s="140">
        <f t="shared" si="35"/>
        <v>770000</v>
      </c>
      <c r="BC34" s="140">
        <f t="shared" si="35"/>
        <v>780000</v>
      </c>
      <c r="BD34" s="140">
        <f t="shared" si="35"/>
        <v>790000</v>
      </c>
      <c r="BE34" s="140">
        <f t="shared" si="35"/>
        <v>800000</v>
      </c>
      <c r="BF34" s="140">
        <f t="shared" si="35"/>
        <v>810000</v>
      </c>
      <c r="BG34" s="140">
        <f t="shared" si="35"/>
        <v>820000</v>
      </c>
      <c r="BH34" s="140">
        <f t="shared" si="35"/>
        <v>830000</v>
      </c>
      <c r="BI34" s="140">
        <f t="shared" si="35"/>
        <v>840000</v>
      </c>
      <c r="BJ34" s="140">
        <f t="shared" si="35"/>
        <v>850000</v>
      </c>
    </row>
    <row r="35" spans="1:62" ht="14.4" customHeight="1" x14ac:dyDescent="0.25">
      <c r="A35" s="129"/>
      <c r="B35" s="83"/>
      <c r="C35" s="83"/>
      <c r="D35" s="83"/>
      <c r="E35" s="83"/>
      <c r="F35" s="140"/>
      <c r="G35" s="140"/>
      <c r="H35" s="140"/>
      <c r="I35" s="140"/>
      <c r="J35" s="140"/>
      <c r="K35" s="140"/>
      <c r="L35" s="140"/>
      <c r="M35" s="140"/>
      <c r="O35" s="129"/>
      <c r="P35" s="129"/>
      <c r="Q35" s="129"/>
      <c r="R35" s="129"/>
      <c r="S35" s="129"/>
      <c r="T35" s="129"/>
      <c r="U35" s="129"/>
      <c r="V35" s="129"/>
      <c r="W35" s="129"/>
      <c r="X35" s="129"/>
      <c r="Y35" s="129"/>
      <c r="Z35" s="129"/>
      <c r="AA35" s="129"/>
      <c r="AB35" s="129"/>
      <c r="AC35" s="129"/>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row>
    <row r="36" spans="1:62" ht="14.4" customHeight="1" x14ac:dyDescent="0.25">
      <c r="A36" s="129"/>
      <c r="B36" s="83"/>
      <c r="C36" s="83"/>
      <c r="D36" s="83"/>
      <c r="E36" s="83"/>
      <c r="F36" s="140"/>
      <c r="G36" s="140"/>
      <c r="H36" s="140"/>
      <c r="I36" s="140"/>
      <c r="J36" s="140"/>
      <c r="K36" s="140"/>
      <c r="L36" s="140"/>
      <c r="M36" s="140"/>
      <c r="O36" s="129"/>
      <c r="P36" s="129"/>
      <c r="Q36" s="129"/>
      <c r="R36" s="129"/>
      <c r="S36" s="129"/>
      <c r="T36" s="129"/>
      <c r="U36" s="129"/>
      <c r="V36" s="129"/>
      <c r="W36" s="129"/>
      <c r="X36" s="129"/>
      <c r="Y36" s="129"/>
      <c r="Z36" s="129"/>
      <c r="AA36" s="129"/>
      <c r="AB36" s="129"/>
      <c r="AC36" s="129"/>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row>
    <row r="37" spans="1:62" ht="28.8" customHeight="1" x14ac:dyDescent="0.25">
      <c r="A37" s="80" t="str">
        <f>A2</f>
        <v>Pooled Reserve Schedule</v>
      </c>
      <c r="B37" s="130" t="str">
        <f>B2</f>
        <v>First Year</v>
      </c>
      <c r="C37" s="181">
        <f>C2</f>
        <v>2027</v>
      </c>
      <c r="D37" s="81" t="str">
        <f>D2</f>
        <v>Update the first year!</v>
      </c>
      <c r="E37" s="130"/>
      <c r="F37" s="86"/>
      <c r="G37" s="185"/>
      <c r="H37" s="186"/>
      <c r="I37" s="186"/>
      <c r="J37" s="186"/>
      <c r="O37" s="129"/>
      <c r="P37" s="129"/>
      <c r="Q37" s="129"/>
      <c r="R37" s="129"/>
      <c r="S37" s="129"/>
      <c r="T37" s="129"/>
      <c r="U37" s="129"/>
      <c r="V37" s="129"/>
      <c r="W37" s="129"/>
      <c r="X37" s="129"/>
      <c r="Y37" s="129"/>
      <c r="Z37" s="129"/>
      <c r="AA37" s="129"/>
      <c r="AB37" s="129"/>
      <c r="AC37" s="129"/>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row>
    <row r="38" spans="1:62" ht="9.6" customHeight="1" x14ac:dyDescent="0.25">
      <c r="A38" s="80"/>
      <c r="B38" s="130"/>
      <c r="C38" s="86"/>
      <c r="D38" s="81"/>
      <c r="E38" s="151"/>
      <c r="F38" s="86"/>
      <c r="G38" s="5"/>
      <c r="H38" s="5"/>
      <c r="I38" s="5"/>
      <c r="J38" s="5"/>
      <c r="O38" s="129"/>
      <c r="P38" s="129"/>
      <c r="Q38" s="129"/>
      <c r="R38" s="129"/>
      <c r="S38" s="129"/>
      <c r="T38" s="129"/>
      <c r="U38" s="129"/>
      <c r="V38" s="129"/>
      <c r="W38" s="129"/>
      <c r="X38" s="129"/>
      <c r="Y38" s="129"/>
      <c r="Z38" s="129"/>
      <c r="AA38" s="129"/>
      <c r="AB38" s="129"/>
      <c r="AC38" s="129"/>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row>
    <row r="39" spans="1:62" ht="14.4" customHeight="1" x14ac:dyDescent="0.25">
      <c r="A39" s="129"/>
      <c r="B39" s="83"/>
      <c r="C39" s="83"/>
      <c r="D39" s="83"/>
      <c r="E39" s="83"/>
      <c r="F39" s="140"/>
      <c r="G39" s="140"/>
      <c r="H39" s="140"/>
      <c r="I39" s="140"/>
      <c r="J39" s="140"/>
      <c r="K39" s="140"/>
      <c r="L39" s="140"/>
      <c r="M39" s="140"/>
      <c r="O39" s="129"/>
      <c r="P39" s="129"/>
      <c r="Q39" s="129"/>
      <c r="R39" s="129"/>
      <c r="S39" s="129"/>
      <c r="T39" s="129"/>
      <c r="U39" s="129"/>
      <c r="V39" s="129"/>
      <c r="W39" s="129"/>
      <c r="X39" s="129"/>
      <c r="Y39" s="129"/>
      <c r="Z39" s="129"/>
      <c r="AA39" s="129"/>
      <c r="AB39" s="129"/>
      <c r="AC39" s="129"/>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row>
    <row r="40" spans="1:62" ht="27" customHeight="1" x14ac:dyDescent="0.25">
      <c r="A40" s="132" t="str">
        <f t="shared" ref="A40:D46" si="36">A21</f>
        <v>Category</v>
      </c>
      <c r="B40" s="130" t="str">
        <f t="shared" si="36"/>
        <v>Replacement Cost</v>
      </c>
      <c r="C40" s="130" t="str">
        <f t="shared" si="36"/>
        <v>Useful Life</v>
      </c>
      <c r="D40" s="130" t="str">
        <f t="shared" si="36"/>
        <v>Remaining Life</v>
      </c>
      <c r="E40" s="130" t="s">
        <v>11</v>
      </c>
      <c r="F40" s="133">
        <f>$C$2+16</f>
        <v>2043</v>
      </c>
      <c r="G40" s="133">
        <f>$C$2+17</f>
        <v>2044</v>
      </c>
      <c r="H40" s="133">
        <f>$C$2+18</f>
        <v>2045</v>
      </c>
      <c r="I40" s="133">
        <f>$C$2+19</f>
        <v>2046</v>
      </c>
      <c r="J40" s="133">
        <f>$C$2+20</f>
        <v>2047</v>
      </c>
      <c r="K40" s="133">
        <f>$C$2+21</f>
        <v>2048</v>
      </c>
      <c r="L40" s="133">
        <f>$C$2+22</f>
        <v>2049</v>
      </c>
      <c r="M40" s="133">
        <f>$C$2+23</f>
        <v>2050</v>
      </c>
      <c r="O40" s="129"/>
      <c r="P40" s="129"/>
      <c r="Q40" s="129"/>
      <c r="R40" s="129"/>
      <c r="S40" s="129"/>
      <c r="T40" s="129"/>
      <c r="U40" s="129"/>
      <c r="V40" s="140"/>
      <c r="W40" s="140"/>
      <c r="X40" s="140"/>
    </row>
    <row r="41" spans="1:62" ht="14.4" customHeight="1" x14ac:dyDescent="0.25">
      <c r="A41" s="147" t="str">
        <f t="shared" si="36"/>
        <v>Roof- Replacement</v>
      </c>
      <c r="B41" s="137">
        <f t="shared" si="36"/>
        <v>3000000</v>
      </c>
      <c r="C41" s="140">
        <f t="shared" si="36"/>
        <v>0</v>
      </c>
      <c r="D41" s="140">
        <f t="shared" si="36"/>
        <v>0</v>
      </c>
      <c r="E41" s="152">
        <f t="shared" ref="E41:E46" si="37">IF(OR(B41="",B41=0,D41=""),"",$C$2+D41)</f>
        <v>2027</v>
      </c>
      <c r="F41" s="137">
        <f t="shared" ref="F41:M41" si="38">IFERROR(IF(AND($B6&gt;0,$C6&gt;0,F40&gt;=$C$2+$D6,MOD(F40-$C$2-$D6,$C6)=0),$B6*(1+$B$76)^(F40-$C$2),0),0)</f>
        <v>0</v>
      </c>
      <c r="G41" s="137">
        <f t="shared" si="38"/>
        <v>0</v>
      </c>
      <c r="H41" s="137">
        <f t="shared" si="38"/>
        <v>0</v>
      </c>
      <c r="I41" s="137">
        <f t="shared" si="38"/>
        <v>0</v>
      </c>
      <c r="J41" s="137">
        <f t="shared" si="38"/>
        <v>0</v>
      </c>
      <c r="K41" s="137">
        <f t="shared" si="38"/>
        <v>0</v>
      </c>
      <c r="L41" s="137">
        <f t="shared" si="38"/>
        <v>0</v>
      </c>
      <c r="M41" s="137">
        <f t="shared" si="38"/>
        <v>0</v>
      </c>
      <c r="O41" s="129"/>
      <c r="P41" s="129"/>
      <c r="Q41" s="129"/>
      <c r="R41" s="129"/>
      <c r="S41" s="129"/>
      <c r="T41" s="129"/>
      <c r="U41" s="129"/>
      <c r="V41" s="140"/>
      <c r="W41" s="140"/>
      <c r="X41" s="140"/>
    </row>
    <row r="42" spans="1:62" ht="14.4" customHeight="1" x14ac:dyDescent="0.25">
      <c r="A42" s="147" t="str">
        <f t="shared" si="36"/>
        <v>Buildings - Repaint</v>
      </c>
      <c r="B42" s="137">
        <f t="shared" si="36"/>
        <v>200000</v>
      </c>
      <c r="C42" s="140">
        <f t="shared" si="36"/>
        <v>0</v>
      </c>
      <c r="D42" s="140">
        <f t="shared" si="36"/>
        <v>0</v>
      </c>
      <c r="E42" s="152">
        <f t="shared" si="37"/>
        <v>2027</v>
      </c>
      <c r="F42" s="137">
        <f t="shared" ref="F42:M42" si="39">IFERROR(IF(AND($B7&gt;0,$C7&gt;0,F40&gt;=$C$2+$D7,MOD(F40-$C$2-$D7,$C7)=0),$B7*(1+$B$76)^(F40-$C$2),0),0)</f>
        <v>0</v>
      </c>
      <c r="G42" s="137">
        <f t="shared" si="39"/>
        <v>0</v>
      </c>
      <c r="H42" s="137">
        <f t="shared" si="39"/>
        <v>0</v>
      </c>
      <c r="I42" s="137">
        <f t="shared" si="39"/>
        <v>0</v>
      </c>
      <c r="J42" s="137">
        <f t="shared" si="39"/>
        <v>0</v>
      </c>
      <c r="K42" s="137">
        <f t="shared" si="39"/>
        <v>0</v>
      </c>
      <c r="L42" s="137">
        <f t="shared" si="39"/>
        <v>0</v>
      </c>
      <c r="M42" s="137">
        <f t="shared" si="39"/>
        <v>0</v>
      </c>
      <c r="O42" s="129"/>
      <c r="P42" s="129"/>
      <c r="Q42" s="129"/>
      <c r="R42" s="129"/>
      <c r="S42" s="129"/>
      <c r="T42" s="129"/>
      <c r="U42" s="129"/>
      <c r="V42" s="140"/>
      <c r="W42" s="140"/>
      <c r="X42" s="140"/>
    </row>
    <row r="43" spans="1:62" ht="14.4" customHeight="1" x14ac:dyDescent="0.25">
      <c r="A43" s="139">
        <f t="shared" si="36"/>
        <v>3</v>
      </c>
      <c r="B43" s="137">
        <f t="shared" si="36"/>
        <v>0</v>
      </c>
      <c r="C43" s="140">
        <f t="shared" si="36"/>
        <v>0</v>
      </c>
      <c r="D43" s="140">
        <f t="shared" si="36"/>
        <v>0</v>
      </c>
      <c r="E43" s="152" t="str">
        <f t="shared" si="37"/>
        <v/>
      </c>
      <c r="F43" s="137">
        <f t="shared" ref="F43:M43" si="40">IFERROR(IF(AND($B8&gt;0,$C8&gt;0,F40&gt;=$C$2+$D8,MOD(F40-$C$2-$D8,$C8)=0),$B8*(1+$B$76)^(F40-$C$2),0),0)</f>
        <v>0</v>
      </c>
      <c r="G43" s="137">
        <f t="shared" si="40"/>
        <v>0</v>
      </c>
      <c r="H43" s="137">
        <f t="shared" si="40"/>
        <v>0</v>
      </c>
      <c r="I43" s="137">
        <f t="shared" si="40"/>
        <v>0</v>
      </c>
      <c r="J43" s="137">
        <f t="shared" si="40"/>
        <v>0</v>
      </c>
      <c r="K43" s="137">
        <f t="shared" si="40"/>
        <v>0</v>
      </c>
      <c r="L43" s="137">
        <f t="shared" si="40"/>
        <v>0</v>
      </c>
      <c r="M43" s="137">
        <f t="shared" si="40"/>
        <v>0</v>
      </c>
      <c r="O43" s="133"/>
      <c r="P43" s="129"/>
      <c r="Q43" s="129"/>
      <c r="R43" s="129"/>
      <c r="S43" s="129"/>
      <c r="T43" s="129"/>
      <c r="U43" s="129"/>
      <c r="V43" s="85"/>
      <c r="W43" s="85"/>
      <c r="X43" s="85"/>
    </row>
    <row r="44" spans="1:62" ht="14.4" customHeight="1" x14ac:dyDescent="0.25">
      <c r="A44" s="139">
        <f t="shared" si="36"/>
        <v>4</v>
      </c>
      <c r="B44" s="137">
        <f t="shared" si="36"/>
        <v>0</v>
      </c>
      <c r="C44" s="140">
        <f t="shared" si="36"/>
        <v>0</v>
      </c>
      <c r="D44" s="140">
        <f t="shared" si="36"/>
        <v>0</v>
      </c>
      <c r="E44" s="152" t="str">
        <f t="shared" si="37"/>
        <v/>
      </c>
      <c r="F44" s="137">
        <f t="shared" ref="F44:M44" si="41">IFERROR(IF(AND($B9&gt;0,$C9&gt;0,F40&gt;=$C$2+$D9,MOD(F40-$C$2-$D9,$C9)=0),$B9*(1+$B$76)^(F40-$C$2),0),0)</f>
        <v>0</v>
      </c>
      <c r="G44" s="137">
        <f t="shared" si="41"/>
        <v>0</v>
      </c>
      <c r="H44" s="137">
        <f t="shared" si="41"/>
        <v>0</v>
      </c>
      <c r="I44" s="137">
        <f t="shared" si="41"/>
        <v>0</v>
      </c>
      <c r="J44" s="137">
        <f t="shared" si="41"/>
        <v>0</v>
      </c>
      <c r="K44" s="137">
        <f t="shared" si="41"/>
        <v>0</v>
      </c>
      <c r="L44" s="137">
        <f t="shared" si="41"/>
        <v>0</v>
      </c>
      <c r="M44" s="137">
        <f t="shared" si="41"/>
        <v>0</v>
      </c>
      <c r="O44" s="129"/>
      <c r="P44" s="129"/>
      <c r="Q44" s="129"/>
      <c r="R44" s="129"/>
      <c r="S44" s="129"/>
      <c r="T44" s="129"/>
      <c r="U44" s="129"/>
      <c r="V44" s="83"/>
      <c r="W44" s="83"/>
      <c r="X44" s="83"/>
    </row>
    <row r="45" spans="1:62" ht="14.4" customHeight="1" x14ac:dyDescent="0.25">
      <c r="A45" s="139">
        <f t="shared" si="36"/>
        <v>5</v>
      </c>
      <c r="B45" s="137">
        <f t="shared" si="36"/>
        <v>0</v>
      </c>
      <c r="C45" s="140">
        <f t="shared" si="36"/>
        <v>0</v>
      </c>
      <c r="D45" s="140">
        <f t="shared" si="36"/>
        <v>0</v>
      </c>
      <c r="E45" s="152" t="str">
        <f t="shared" si="37"/>
        <v/>
      </c>
      <c r="F45" s="137">
        <f t="shared" ref="F45:M45" si="42">IFERROR(IF(AND($B10&gt;0,$C10&gt;0,F40&gt;=$C$2+$D10,MOD(F40-$C$2-$D10,$C10)=0),$B10*(1+$B$76)^(F40-$C$2),0),0)</f>
        <v>0</v>
      </c>
      <c r="G45" s="137">
        <f t="shared" si="42"/>
        <v>0</v>
      </c>
      <c r="H45" s="137">
        <f t="shared" si="42"/>
        <v>0</v>
      </c>
      <c r="I45" s="137">
        <f t="shared" si="42"/>
        <v>0</v>
      </c>
      <c r="J45" s="137">
        <f t="shared" si="42"/>
        <v>0</v>
      </c>
      <c r="K45" s="137">
        <f t="shared" si="42"/>
        <v>0</v>
      </c>
      <c r="L45" s="137">
        <f t="shared" si="42"/>
        <v>0</v>
      </c>
      <c r="M45" s="137">
        <f t="shared" si="42"/>
        <v>0</v>
      </c>
      <c r="O45" s="129"/>
      <c r="P45" s="129"/>
      <c r="Q45" s="129"/>
      <c r="R45" s="129"/>
      <c r="S45" s="129"/>
      <c r="T45" s="129"/>
      <c r="U45" s="129"/>
    </row>
    <row r="46" spans="1:62" ht="14.4" customHeight="1" x14ac:dyDescent="0.25">
      <c r="A46" s="139">
        <f t="shared" si="36"/>
        <v>6</v>
      </c>
      <c r="B46" s="137">
        <f t="shared" si="36"/>
        <v>0</v>
      </c>
      <c r="C46" s="140">
        <f t="shared" si="36"/>
        <v>0</v>
      </c>
      <c r="D46" s="140">
        <f t="shared" si="36"/>
        <v>0</v>
      </c>
      <c r="E46" s="152" t="str">
        <f t="shared" si="37"/>
        <v/>
      </c>
      <c r="F46" s="137">
        <f t="shared" ref="F46:M46" si="43">IFERROR(IF(AND($B11&gt;0,$C11&gt;0,F40&gt;=$C$2+$D11,MOD(F40-$C$2-$D11,$C11)=0),$B11*(1+$B$76)^(F40-$C$2),0),0)</f>
        <v>0</v>
      </c>
      <c r="G46" s="137">
        <f t="shared" si="43"/>
        <v>0</v>
      </c>
      <c r="H46" s="137">
        <f t="shared" si="43"/>
        <v>0</v>
      </c>
      <c r="I46" s="137">
        <f t="shared" si="43"/>
        <v>0</v>
      </c>
      <c r="J46" s="137">
        <f t="shared" si="43"/>
        <v>0</v>
      </c>
      <c r="K46" s="137">
        <f t="shared" si="43"/>
        <v>0</v>
      </c>
      <c r="L46" s="137">
        <f t="shared" si="43"/>
        <v>0</v>
      </c>
      <c r="M46" s="137">
        <f t="shared" si="43"/>
        <v>0</v>
      </c>
      <c r="O46" s="129"/>
      <c r="P46" s="129"/>
      <c r="Q46" s="129"/>
      <c r="R46" s="129"/>
      <c r="S46" s="129"/>
      <c r="T46" s="129"/>
      <c r="U46" s="129"/>
    </row>
    <row r="47" spans="1:62" s="22" customFormat="1" ht="14.4" customHeight="1" x14ac:dyDescent="0.25">
      <c r="A47" s="139"/>
      <c r="B47" s="137"/>
      <c r="C47" s="140"/>
      <c r="D47" s="140"/>
      <c r="E47" s="140"/>
      <c r="F47" s="137"/>
      <c r="G47" s="137"/>
      <c r="H47" s="137"/>
      <c r="I47" s="137"/>
      <c r="J47" s="137"/>
      <c r="K47" s="137"/>
      <c r="L47" s="137"/>
      <c r="M47" s="137"/>
      <c r="O47" s="129"/>
      <c r="P47" s="129"/>
      <c r="Q47" s="129"/>
      <c r="R47" s="129"/>
      <c r="S47" s="129"/>
      <c r="T47" s="129"/>
      <c r="U47" s="129"/>
    </row>
    <row r="48" spans="1:62" ht="14.4" customHeight="1" x14ac:dyDescent="0.25">
      <c r="A48" s="129"/>
      <c r="B48" s="141"/>
      <c r="C48" s="140"/>
      <c r="D48" s="140"/>
      <c r="E48" s="140"/>
      <c r="F48" s="85"/>
      <c r="G48" s="85"/>
      <c r="H48" s="85"/>
      <c r="I48" s="85"/>
      <c r="J48" s="85"/>
      <c r="K48" s="85"/>
      <c r="L48" s="85"/>
      <c r="M48" s="85"/>
      <c r="O48" s="129"/>
      <c r="P48" s="129"/>
      <c r="Q48" s="129"/>
      <c r="R48" s="129"/>
      <c r="S48" s="129"/>
      <c r="T48" s="129"/>
      <c r="U48" s="129"/>
    </row>
    <row r="49" spans="1:70" ht="14.4" customHeight="1" x14ac:dyDescent="0.25">
      <c r="A49" s="129" t="str">
        <f>A30</f>
        <v>Beginning Cash Balance</v>
      </c>
      <c r="B49" s="153"/>
      <c r="C49" s="153"/>
      <c r="D49" s="153"/>
      <c r="E49" s="153"/>
      <c r="F49" s="140">
        <f>M34</f>
        <v>360000</v>
      </c>
      <c r="G49" s="140">
        <f t="shared" ref="G49:M49" si="44">F53</f>
        <v>370000</v>
      </c>
      <c r="H49" s="140">
        <f t="shared" si="44"/>
        <v>380000</v>
      </c>
      <c r="I49" s="140">
        <f t="shared" si="44"/>
        <v>390000</v>
      </c>
      <c r="J49" s="140">
        <f t="shared" si="44"/>
        <v>400000</v>
      </c>
      <c r="K49" s="140">
        <f t="shared" si="44"/>
        <v>410000</v>
      </c>
      <c r="L49" s="140">
        <f t="shared" si="44"/>
        <v>420000</v>
      </c>
      <c r="M49" s="140">
        <f t="shared" si="44"/>
        <v>430000</v>
      </c>
      <c r="O49" s="129"/>
      <c r="P49" s="129"/>
      <c r="Q49" s="129"/>
      <c r="R49" s="129"/>
      <c r="S49" s="129"/>
      <c r="T49" s="129"/>
      <c r="U49" s="129"/>
    </row>
    <row r="50" spans="1:70" ht="14.4" customHeight="1" x14ac:dyDescent="0.3">
      <c r="A50" s="129" t="str">
        <f>A31</f>
        <v>Annual Reserve Contribution</v>
      </c>
      <c r="B50" s="153"/>
      <c r="C50" s="153"/>
      <c r="D50" s="153"/>
      <c r="E50" s="154"/>
      <c r="F50" s="142">
        <f>M31</f>
        <v>10000</v>
      </c>
      <c r="G50" s="142">
        <f t="shared" ref="G50:M50" si="45">F50</f>
        <v>10000</v>
      </c>
      <c r="H50" s="142">
        <f t="shared" si="45"/>
        <v>10000</v>
      </c>
      <c r="I50" s="142">
        <f t="shared" si="45"/>
        <v>10000</v>
      </c>
      <c r="J50" s="142">
        <f t="shared" si="45"/>
        <v>10000</v>
      </c>
      <c r="K50" s="142">
        <f t="shared" si="45"/>
        <v>10000</v>
      </c>
      <c r="L50" s="142">
        <f t="shared" si="45"/>
        <v>10000</v>
      </c>
      <c r="M50" s="142">
        <f t="shared" si="45"/>
        <v>10000</v>
      </c>
      <c r="N50" s="92"/>
      <c r="O50" s="129"/>
      <c r="P50" s="129"/>
      <c r="Q50" s="129"/>
      <c r="R50" s="129"/>
      <c r="S50" s="129"/>
      <c r="T50" s="129"/>
      <c r="U50" s="129"/>
    </row>
    <row r="51" spans="1:70" ht="14.4" customHeight="1" x14ac:dyDescent="0.3">
      <c r="A51" s="129" t="str">
        <f>A32</f>
        <v>Projected Shortfall to Next Funding Gap</v>
      </c>
      <c r="B51" s="153"/>
      <c r="C51" s="153"/>
      <c r="D51" s="153"/>
      <c r="E51" s="155"/>
      <c r="F51" s="145">
        <f t="shared" ref="F51:L51" si="46">IF(MAX(0,F52-F49-F50)&gt;0,MAX(0,F52-F49-F50),IF(G51&gt;0,G51+G50,0))</f>
        <v>0</v>
      </c>
      <c r="G51" s="145">
        <f t="shared" si="46"/>
        <v>0</v>
      </c>
      <c r="H51" s="145">
        <f t="shared" si="46"/>
        <v>0</v>
      </c>
      <c r="I51" s="145">
        <f t="shared" si="46"/>
        <v>0</v>
      </c>
      <c r="J51" s="145">
        <f t="shared" si="46"/>
        <v>0</v>
      </c>
      <c r="K51" s="145">
        <f t="shared" si="46"/>
        <v>0</v>
      </c>
      <c r="L51" s="145">
        <f t="shared" si="46"/>
        <v>0</v>
      </c>
      <c r="M51" s="145">
        <f>IF(MAX(0,M52-M49-M50)&gt;0,MAX(0,M52-M49-M50),IF(F67&gt;0,F67+F66,0))</f>
        <v>0</v>
      </c>
      <c r="N51" s="144"/>
      <c r="O51" s="129"/>
      <c r="P51" s="129"/>
      <c r="Q51" s="129"/>
      <c r="R51" s="129"/>
      <c r="S51" s="129"/>
      <c r="T51" s="129"/>
      <c r="U51" s="129"/>
    </row>
    <row r="52" spans="1:70" ht="14.4" customHeight="1" x14ac:dyDescent="0.25">
      <c r="A52" s="129" t="str">
        <f>A33</f>
        <v>Total Expenditures</v>
      </c>
      <c r="B52" s="153"/>
      <c r="C52" s="153"/>
      <c r="D52" s="153"/>
      <c r="E52" s="153"/>
      <c r="F52" s="140">
        <f t="shared" ref="F52:M52" si="47">SUM(F41:F46)</f>
        <v>0</v>
      </c>
      <c r="G52" s="140">
        <f t="shared" si="47"/>
        <v>0</v>
      </c>
      <c r="H52" s="140">
        <f t="shared" si="47"/>
        <v>0</v>
      </c>
      <c r="I52" s="140">
        <f t="shared" si="47"/>
        <v>0</v>
      </c>
      <c r="J52" s="140">
        <f t="shared" si="47"/>
        <v>0</v>
      </c>
      <c r="K52" s="140">
        <f t="shared" si="47"/>
        <v>0</v>
      </c>
      <c r="L52" s="140">
        <f t="shared" si="47"/>
        <v>0</v>
      </c>
      <c r="M52" s="140">
        <f t="shared" si="47"/>
        <v>0</v>
      </c>
      <c r="O52" s="129"/>
      <c r="P52" s="129"/>
      <c r="Q52" s="129"/>
      <c r="R52" s="129"/>
      <c r="S52" s="129"/>
      <c r="T52" s="129"/>
      <c r="U52" s="129"/>
    </row>
    <row r="53" spans="1:70" ht="14.4" customHeight="1" x14ac:dyDescent="0.25">
      <c r="A53" s="129" t="str">
        <f>A34</f>
        <v>Ending Cash (Assumes Gap Funded)</v>
      </c>
      <c r="B53" s="153"/>
      <c r="C53" s="153"/>
      <c r="D53" s="153"/>
      <c r="E53" s="154"/>
      <c r="F53" s="142">
        <f t="shared" ref="F53:M53" si="48">F49+F50+MAX(0,F52-F49-F50)-F52</f>
        <v>370000</v>
      </c>
      <c r="G53" s="142">
        <f t="shared" si="48"/>
        <v>380000</v>
      </c>
      <c r="H53" s="142">
        <f t="shared" si="48"/>
        <v>390000</v>
      </c>
      <c r="I53" s="142">
        <f t="shared" si="48"/>
        <v>400000</v>
      </c>
      <c r="J53" s="142">
        <f t="shared" si="48"/>
        <v>410000</v>
      </c>
      <c r="K53" s="142">
        <f t="shared" si="48"/>
        <v>420000</v>
      </c>
      <c r="L53" s="142">
        <f t="shared" si="48"/>
        <v>430000</v>
      </c>
      <c r="M53" s="142">
        <f t="shared" si="48"/>
        <v>440000</v>
      </c>
      <c r="O53" s="129"/>
      <c r="P53" s="129"/>
      <c r="Q53" s="129"/>
      <c r="R53" s="129"/>
      <c r="S53" s="129"/>
      <c r="T53" s="129"/>
      <c r="U53" s="129"/>
    </row>
    <row r="54" spans="1:70" ht="14.4" customHeight="1" x14ac:dyDescent="0.25">
      <c r="A54" s="156"/>
      <c r="B54" s="94"/>
      <c r="C54" s="94"/>
      <c r="D54" s="94"/>
      <c r="E54" s="94"/>
      <c r="F54" s="157"/>
      <c r="G54" s="157"/>
      <c r="H54" s="157"/>
      <c r="I54" s="157"/>
      <c r="J54" s="157"/>
      <c r="K54" s="157"/>
      <c r="L54" s="157"/>
      <c r="M54" s="157"/>
      <c r="N54" s="129"/>
      <c r="O54" s="129"/>
      <c r="P54" s="129"/>
      <c r="Q54" s="129"/>
      <c r="R54" s="129"/>
      <c r="S54" s="129"/>
      <c r="T54" s="129"/>
      <c r="U54" s="129"/>
      <c r="V54" s="129"/>
      <c r="W54" s="129"/>
      <c r="X54" s="129"/>
      <c r="Y54" s="129"/>
      <c r="Z54" s="129"/>
      <c r="AA54" s="129"/>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9"/>
      <c r="BR54" s="79"/>
    </row>
    <row r="55" spans="1:70" ht="14.4" customHeight="1" x14ac:dyDescent="0.25">
      <c r="O55" s="129"/>
      <c r="P55" s="129"/>
      <c r="Q55" s="129"/>
      <c r="R55" s="129"/>
      <c r="S55" s="129"/>
      <c r="T55" s="129"/>
      <c r="U55" s="129"/>
    </row>
    <row r="56" spans="1:70" ht="27.6" customHeight="1" x14ac:dyDescent="0.3">
      <c r="A56" s="132" t="str">
        <f t="shared" ref="A56:D62" si="49">A40</f>
        <v>Category</v>
      </c>
      <c r="B56" s="130" t="str">
        <f t="shared" si="49"/>
        <v>Replacement Cost</v>
      </c>
      <c r="C56" s="130" t="str">
        <f t="shared" si="49"/>
        <v>Useful Life</v>
      </c>
      <c r="D56" s="130" t="str">
        <f t="shared" si="49"/>
        <v>Remaining Life</v>
      </c>
      <c r="E56" s="130" t="s">
        <v>11</v>
      </c>
      <c r="F56" s="133">
        <f>$C$2+24</f>
        <v>2051</v>
      </c>
      <c r="G56" s="133">
        <f>$C$2+25</f>
        <v>2052</v>
      </c>
      <c r="H56" s="133">
        <f>$C$2+26</f>
        <v>2053</v>
      </c>
      <c r="I56" s="133">
        <f>$C$2+27</f>
        <v>2054</v>
      </c>
      <c r="J56" s="133">
        <f>$C$2+28</f>
        <v>2055</v>
      </c>
      <c r="K56" s="133">
        <f>$C$2+29</f>
        <v>2056</v>
      </c>
      <c r="L56" s="133">
        <f>$C$2+30</f>
        <v>2057</v>
      </c>
      <c r="M56" s="133">
        <f>$C$2+31</f>
        <v>2058</v>
      </c>
    </row>
    <row r="57" spans="1:70" ht="14.4" customHeight="1" x14ac:dyDescent="0.25">
      <c r="A57" s="147" t="str">
        <f t="shared" si="49"/>
        <v>Roof- Replacement</v>
      </c>
      <c r="B57" s="137">
        <f t="shared" si="49"/>
        <v>3000000</v>
      </c>
      <c r="C57" s="140">
        <f t="shared" si="49"/>
        <v>0</v>
      </c>
      <c r="D57" s="140">
        <f t="shared" si="49"/>
        <v>0</v>
      </c>
      <c r="E57" s="152">
        <f t="shared" ref="E57:E62" si="50">E6</f>
        <v>2027</v>
      </c>
      <c r="F57" s="137">
        <f t="shared" ref="F57:M57" si="51">IFERROR(IF(AND($B6&gt;0,$C6&gt;0,F56&gt;=$C$2+$D6,MOD(F56-$C$2-$D6,$C6)=0),$B6*(1+$B$76)^(F56-$C$2),0),0)</f>
        <v>0</v>
      </c>
      <c r="G57" s="137">
        <f t="shared" si="51"/>
        <v>0</v>
      </c>
      <c r="H57" s="137">
        <f t="shared" si="51"/>
        <v>0</v>
      </c>
      <c r="I57" s="137">
        <f t="shared" si="51"/>
        <v>0</v>
      </c>
      <c r="J57" s="137">
        <f t="shared" si="51"/>
        <v>0</v>
      </c>
      <c r="K57" s="137">
        <f t="shared" si="51"/>
        <v>0</v>
      </c>
      <c r="L57" s="137">
        <f t="shared" si="51"/>
        <v>0</v>
      </c>
      <c r="M57" s="137">
        <f t="shared" si="51"/>
        <v>0</v>
      </c>
    </row>
    <row r="58" spans="1:70" x14ac:dyDescent="0.25">
      <c r="A58" s="147" t="str">
        <f t="shared" si="49"/>
        <v>Buildings - Repaint</v>
      </c>
      <c r="B58" s="137">
        <f t="shared" si="49"/>
        <v>200000</v>
      </c>
      <c r="C58" s="140">
        <f t="shared" si="49"/>
        <v>0</v>
      </c>
      <c r="D58" s="140">
        <f t="shared" si="49"/>
        <v>0</v>
      </c>
      <c r="E58" s="152">
        <f t="shared" si="50"/>
        <v>2027</v>
      </c>
      <c r="F58" s="137">
        <f t="shared" ref="F58:M58" si="52">IFERROR(IF(AND($B7&gt;0,$C7&gt;0,F56&gt;=$C$2+$D7,MOD(F56-$C$2-$D7,$C7)=0),$B7*(1+$B$76)^(F56-$C$2),0),0)</f>
        <v>0</v>
      </c>
      <c r="G58" s="137">
        <f t="shared" si="52"/>
        <v>0</v>
      </c>
      <c r="H58" s="137">
        <f t="shared" si="52"/>
        <v>0</v>
      </c>
      <c r="I58" s="137">
        <f t="shared" si="52"/>
        <v>0</v>
      </c>
      <c r="J58" s="137">
        <f t="shared" si="52"/>
        <v>0</v>
      </c>
      <c r="K58" s="137">
        <f t="shared" si="52"/>
        <v>0</v>
      </c>
      <c r="L58" s="137">
        <f t="shared" si="52"/>
        <v>0</v>
      </c>
      <c r="M58" s="137">
        <f t="shared" si="52"/>
        <v>0</v>
      </c>
    </row>
    <row r="59" spans="1:70" x14ac:dyDescent="0.25">
      <c r="A59" s="139">
        <f t="shared" si="49"/>
        <v>3</v>
      </c>
      <c r="B59" s="137">
        <f t="shared" si="49"/>
        <v>0</v>
      </c>
      <c r="C59" s="140">
        <f t="shared" si="49"/>
        <v>0</v>
      </c>
      <c r="D59" s="140">
        <f t="shared" si="49"/>
        <v>0</v>
      </c>
      <c r="E59" s="152" t="str">
        <f t="shared" si="50"/>
        <v/>
      </c>
      <c r="F59" s="137">
        <f t="shared" ref="F59:M59" si="53">IFERROR(IF(AND($B8&gt;0,$C8&gt;0,F56&gt;=$C$2+$D8,MOD(F56-$C$2-$D8,$C8)=0),$B8*(1+$B$76)^(F56-$C$2),0),0)</f>
        <v>0</v>
      </c>
      <c r="G59" s="137">
        <f t="shared" si="53"/>
        <v>0</v>
      </c>
      <c r="H59" s="137">
        <f t="shared" si="53"/>
        <v>0</v>
      </c>
      <c r="I59" s="137">
        <f t="shared" si="53"/>
        <v>0</v>
      </c>
      <c r="J59" s="137">
        <f t="shared" si="53"/>
        <v>0</v>
      </c>
      <c r="K59" s="137">
        <f t="shared" si="53"/>
        <v>0</v>
      </c>
      <c r="L59" s="137">
        <f t="shared" si="53"/>
        <v>0</v>
      </c>
      <c r="M59" s="137">
        <f t="shared" si="53"/>
        <v>0</v>
      </c>
    </row>
    <row r="60" spans="1:70" x14ac:dyDescent="0.25">
      <c r="A60" s="139">
        <f t="shared" si="49"/>
        <v>4</v>
      </c>
      <c r="B60" s="137">
        <f t="shared" si="49"/>
        <v>0</v>
      </c>
      <c r="C60" s="140">
        <f t="shared" si="49"/>
        <v>0</v>
      </c>
      <c r="D60" s="140">
        <f t="shared" si="49"/>
        <v>0</v>
      </c>
      <c r="E60" s="152" t="str">
        <f t="shared" si="50"/>
        <v/>
      </c>
      <c r="F60" s="137">
        <f t="shared" ref="F60:M60" si="54">IFERROR(IF(AND($B9&gt;0,$C9&gt;0,F56&gt;=$C$2+$D9,MOD(F56-$C$2-$D9,$C9)=0),$B9*(1+$B$76)^(F56-$C$2),0),0)</f>
        <v>0</v>
      </c>
      <c r="G60" s="137">
        <f t="shared" si="54"/>
        <v>0</v>
      </c>
      <c r="H60" s="137">
        <f t="shared" si="54"/>
        <v>0</v>
      </c>
      <c r="I60" s="137">
        <f t="shared" si="54"/>
        <v>0</v>
      </c>
      <c r="J60" s="137">
        <f t="shared" si="54"/>
        <v>0</v>
      </c>
      <c r="K60" s="137">
        <f t="shared" si="54"/>
        <v>0</v>
      </c>
      <c r="L60" s="137">
        <f t="shared" si="54"/>
        <v>0</v>
      </c>
      <c r="M60" s="137">
        <f t="shared" si="54"/>
        <v>0</v>
      </c>
    </row>
    <row r="61" spans="1:70" x14ac:dyDescent="0.25">
      <c r="A61" s="139">
        <f t="shared" si="49"/>
        <v>5</v>
      </c>
      <c r="B61" s="137">
        <f t="shared" si="49"/>
        <v>0</v>
      </c>
      <c r="C61" s="140">
        <f t="shared" si="49"/>
        <v>0</v>
      </c>
      <c r="D61" s="140">
        <f t="shared" si="49"/>
        <v>0</v>
      </c>
      <c r="E61" s="152" t="str">
        <f t="shared" si="50"/>
        <v/>
      </c>
      <c r="F61" s="137">
        <f t="shared" ref="F61:M61" si="55">IFERROR(IF(AND($B10&gt;0,$C10&gt;0,F56&gt;=$C$2+$D10,MOD(F56-$C$2-$D10,$C10)=0),$B10*(1+$B$76)^(F56-$C$2),0),0)</f>
        <v>0</v>
      </c>
      <c r="G61" s="137">
        <f t="shared" si="55"/>
        <v>0</v>
      </c>
      <c r="H61" s="137">
        <f t="shared" si="55"/>
        <v>0</v>
      </c>
      <c r="I61" s="137">
        <f t="shared" si="55"/>
        <v>0</v>
      </c>
      <c r="J61" s="137">
        <f t="shared" si="55"/>
        <v>0</v>
      </c>
      <c r="K61" s="137">
        <f t="shared" si="55"/>
        <v>0</v>
      </c>
      <c r="L61" s="137">
        <f t="shared" si="55"/>
        <v>0</v>
      </c>
      <c r="M61" s="137">
        <f t="shared" si="55"/>
        <v>0</v>
      </c>
    </row>
    <row r="62" spans="1:70" x14ac:dyDescent="0.25">
      <c r="A62" s="139">
        <f t="shared" si="49"/>
        <v>6</v>
      </c>
      <c r="B62" s="137">
        <f t="shared" si="49"/>
        <v>0</v>
      </c>
      <c r="C62" s="140">
        <f t="shared" si="49"/>
        <v>0</v>
      </c>
      <c r="D62" s="140">
        <f t="shared" si="49"/>
        <v>0</v>
      </c>
      <c r="E62" s="152" t="str">
        <f t="shared" si="50"/>
        <v/>
      </c>
      <c r="F62" s="137">
        <f t="shared" ref="F62:M62" si="56">IFERROR(IF(AND($B11&gt;0,$C11&gt;0,F56&gt;=$C$2+$D11,MOD(F56-$C$2-$D11,$C11)=0),$B11*(1+$B$76)^(F56-$C$2),0),0)</f>
        <v>0</v>
      </c>
      <c r="G62" s="137">
        <f t="shared" si="56"/>
        <v>0</v>
      </c>
      <c r="H62" s="137">
        <f t="shared" si="56"/>
        <v>0</v>
      </c>
      <c r="I62" s="137">
        <f t="shared" si="56"/>
        <v>0</v>
      </c>
      <c r="J62" s="137">
        <f t="shared" si="56"/>
        <v>0</v>
      </c>
      <c r="K62" s="137">
        <f t="shared" si="56"/>
        <v>0</v>
      </c>
      <c r="L62" s="137">
        <f t="shared" si="56"/>
        <v>0</v>
      </c>
      <c r="M62" s="137">
        <f t="shared" si="56"/>
        <v>0</v>
      </c>
    </row>
    <row r="63" spans="1:70" s="22" customFormat="1" x14ac:dyDescent="0.25">
      <c r="A63" s="139"/>
      <c r="B63" s="137"/>
      <c r="C63" s="140"/>
      <c r="D63" s="140"/>
      <c r="E63" s="140"/>
      <c r="F63" s="137"/>
      <c r="G63" s="137"/>
      <c r="H63" s="137"/>
      <c r="I63" s="137"/>
      <c r="J63" s="137"/>
      <c r="K63" s="137"/>
      <c r="L63" s="137"/>
      <c r="M63" s="137"/>
    </row>
    <row r="64" spans="1:70" x14ac:dyDescent="0.25">
      <c r="A64" s="129"/>
      <c r="B64" s="141"/>
      <c r="C64" s="140"/>
      <c r="D64" s="140"/>
      <c r="E64" s="140"/>
      <c r="F64" s="85"/>
      <c r="G64" s="85"/>
      <c r="H64" s="85"/>
      <c r="I64" s="85"/>
      <c r="J64" s="85"/>
      <c r="K64" s="85"/>
      <c r="L64" s="85"/>
      <c r="M64" s="85"/>
    </row>
    <row r="65" spans="1:23" x14ac:dyDescent="0.25">
      <c r="A65" s="129" t="str">
        <f>A49</f>
        <v>Beginning Cash Balance</v>
      </c>
      <c r="B65" s="153"/>
      <c r="C65" s="153"/>
      <c r="D65" s="153"/>
      <c r="E65" s="153"/>
      <c r="F65" s="140">
        <f>M53</f>
        <v>440000</v>
      </c>
      <c r="G65" s="140">
        <f t="shared" ref="G65:M65" si="57">F69</f>
        <v>450000</v>
      </c>
      <c r="H65" s="140">
        <f t="shared" si="57"/>
        <v>460000</v>
      </c>
      <c r="I65" s="140">
        <f t="shared" si="57"/>
        <v>470000</v>
      </c>
      <c r="J65" s="140">
        <f t="shared" si="57"/>
        <v>480000</v>
      </c>
      <c r="K65" s="140">
        <f t="shared" si="57"/>
        <v>490000</v>
      </c>
      <c r="L65" s="140">
        <f t="shared" si="57"/>
        <v>500000</v>
      </c>
      <c r="M65" s="140">
        <f t="shared" si="57"/>
        <v>510000</v>
      </c>
    </row>
    <row r="66" spans="1:23" x14ac:dyDescent="0.25">
      <c r="A66" s="129" t="str">
        <f>A50</f>
        <v>Annual Reserve Contribution</v>
      </c>
      <c r="B66" s="153"/>
      <c r="C66" s="153"/>
      <c r="D66" s="153"/>
      <c r="E66" s="154"/>
      <c r="F66" s="142">
        <f>M50</f>
        <v>10000</v>
      </c>
      <c r="G66" s="142">
        <f t="shared" ref="G66:M66" si="58">F66</f>
        <v>10000</v>
      </c>
      <c r="H66" s="142">
        <f t="shared" si="58"/>
        <v>10000</v>
      </c>
      <c r="I66" s="142">
        <f t="shared" si="58"/>
        <v>10000</v>
      </c>
      <c r="J66" s="142">
        <f t="shared" si="58"/>
        <v>10000</v>
      </c>
      <c r="K66" s="142">
        <f t="shared" si="58"/>
        <v>10000</v>
      </c>
      <c r="L66" s="142">
        <f t="shared" si="58"/>
        <v>10000</v>
      </c>
      <c r="M66" s="142">
        <f t="shared" si="58"/>
        <v>10000</v>
      </c>
    </row>
    <row r="67" spans="1:23" x14ac:dyDescent="0.25">
      <c r="A67" s="129" t="str">
        <f>A51</f>
        <v>Projected Shortfall to Next Funding Gap</v>
      </c>
      <c r="B67" s="153"/>
      <c r="C67" s="153"/>
      <c r="D67" s="153"/>
      <c r="E67" s="153"/>
      <c r="F67" s="140">
        <f t="shared" ref="F67:L67" si="59">IF(MAX(0,F68-F65-F66)&gt;0,MAX(0,F68-F65-F66),IF(G67&gt;0,G67+G66,0))</f>
        <v>0</v>
      </c>
      <c r="G67" s="140">
        <f t="shared" si="59"/>
        <v>0</v>
      </c>
      <c r="H67" s="140">
        <f t="shared" si="59"/>
        <v>0</v>
      </c>
      <c r="I67" s="140">
        <f t="shared" si="59"/>
        <v>0</v>
      </c>
      <c r="J67" s="140">
        <f t="shared" si="59"/>
        <v>0</v>
      </c>
      <c r="K67" s="140">
        <f t="shared" si="59"/>
        <v>0</v>
      </c>
      <c r="L67" s="140">
        <f t="shared" si="59"/>
        <v>0</v>
      </c>
      <c r="M67" s="140">
        <f>IF(MAX(0,M68-M65-M66)&gt;0,MAX(0,M68-M65-M66),IF(AD32&gt;0,AD32+AD31,0))</f>
        <v>0</v>
      </c>
    </row>
    <row r="68" spans="1:23" x14ac:dyDescent="0.25">
      <c r="A68" s="129" t="str">
        <f>A52</f>
        <v>Total Expenditures</v>
      </c>
      <c r="B68" s="153"/>
      <c r="C68" s="153"/>
      <c r="D68" s="153"/>
      <c r="E68" s="153"/>
      <c r="F68" s="140">
        <f t="shared" ref="F68:M68" si="60">SUM(F57:F62)</f>
        <v>0</v>
      </c>
      <c r="G68" s="140">
        <f t="shared" si="60"/>
        <v>0</v>
      </c>
      <c r="H68" s="140">
        <f t="shared" si="60"/>
        <v>0</v>
      </c>
      <c r="I68" s="140">
        <f t="shared" si="60"/>
        <v>0</v>
      </c>
      <c r="J68" s="140">
        <f t="shared" si="60"/>
        <v>0</v>
      </c>
      <c r="K68" s="140">
        <f t="shared" si="60"/>
        <v>0</v>
      </c>
      <c r="L68" s="140">
        <f t="shared" si="60"/>
        <v>0</v>
      </c>
      <c r="M68" s="140">
        <f t="shared" si="60"/>
        <v>0</v>
      </c>
    </row>
    <row r="69" spans="1:23" x14ac:dyDescent="0.25">
      <c r="A69" s="129" t="str">
        <f>A53</f>
        <v>Ending Cash (Assumes Gap Funded)</v>
      </c>
      <c r="B69" s="153"/>
      <c r="C69" s="153"/>
      <c r="D69" s="153"/>
      <c r="E69" s="154"/>
      <c r="F69" s="142">
        <f t="shared" ref="F69:M69" si="61">F65+F66+MAX(0,F68-F65-F66)-F68</f>
        <v>450000</v>
      </c>
      <c r="G69" s="142">
        <f t="shared" si="61"/>
        <v>460000</v>
      </c>
      <c r="H69" s="142">
        <f t="shared" si="61"/>
        <v>470000</v>
      </c>
      <c r="I69" s="142">
        <f t="shared" si="61"/>
        <v>480000</v>
      </c>
      <c r="J69" s="142">
        <f t="shared" si="61"/>
        <v>490000</v>
      </c>
      <c r="K69" s="142">
        <f t="shared" si="61"/>
        <v>500000</v>
      </c>
      <c r="L69" s="142">
        <f t="shared" si="61"/>
        <v>510000</v>
      </c>
      <c r="M69" s="142">
        <f t="shared" si="61"/>
        <v>520000</v>
      </c>
      <c r="N69" s="158"/>
    </row>
    <row r="70" spans="1:23" x14ac:dyDescent="0.3">
      <c r="N70" s="158"/>
    </row>
    <row r="71" spans="1:23" ht="14.4" customHeight="1" x14ac:dyDescent="0.3">
      <c r="A71" s="159"/>
      <c r="B71" s="159"/>
      <c r="C71" s="159"/>
      <c r="D71" s="159"/>
      <c r="E71" s="159"/>
      <c r="F71" s="159"/>
      <c r="G71" s="159"/>
      <c r="H71" s="159"/>
      <c r="I71" s="159"/>
      <c r="J71" s="159"/>
      <c r="K71" s="159"/>
      <c r="L71" s="159"/>
      <c r="M71" s="159"/>
      <c r="N71" s="158"/>
    </row>
    <row r="72" spans="1:23" ht="14.4" customHeight="1" x14ac:dyDescent="0.3">
      <c r="N72" s="158"/>
    </row>
    <row r="73" spans="1:23" ht="14.4" customHeight="1" x14ac:dyDescent="0.3">
      <c r="N73" s="158"/>
    </row>
    <row r="74" spans="1:23" ht="14.4" customHeight="1" x14ac:dyDescent="0.3">
      <c r="D74" s="160">
        <f>C2</f>
        <v>2027</v>
      </c>
      <c r="E74" s="133">
        <f t="shared" ref="E74:M74" si="62">D74+1</f>
        <v>2028</v>
      </c>
      <c r="F74" s="133">
        <f t="shared" si="62"/>
        <v>2029</v>
      </c>
      <c r="G74" s="133">
        <f t="shared" si="62"/>
        <v>2030</v>
      </c>
      <c r="H74" s="133">
        <f t="shared" si="62"/>
        <v>2031</v>
      </c>
      <c r="I74" s="133">
        <f t="shared" si="62"/>
        <v>2032</v>
      </c>
      <c r="J74" s="133">
        <f t="shared" si="62"/>
        <v>2033</v>
      </c>
      <c r="K74" s="133">
        <f t="shared" si="62"/>
        <v>2034</v>
      </c>
      <c r="L74" s="133">
        <f t="shared" si="62"/>
        <v>2035</v>
      </c>
      <c r="M74" s="133">
        <f t="shared" si="62"/>
        <v>2036</v>
      </c>
      <c r="N74" s="158"/>
    </row>
    <row r="75" spans="1:23" s="107" customFormat="1" ht="14.4" customHeight="1" x14ac:dyDescent="0.2">
      <c r="A75" s="183" t="s">
        <v>19</v>
      </c>
      <c r="B75" s="184"/>
      <c r="C75" s="184"/>
      <c r="D75" s="182">
        <f>B6</f>
        <v>3000000</v>
      </c>
      <c r="E75" s="161">
        <f t="shared" ref="E75:M75" si="63">(D75*$B$76)+D75</f>
        <v>3090000</v>
      </c>
      <c r="F75" s="161">
        <f t="shared" si="63"/>
        <v>3182700</v>
      </c>
      <c r="G75" s="161">
        <f t="shared" si="63"/>
        <v>3278181</v>
      </c>
      <c r="H75" s="161">
        <f t="shared" si="63"/>
        <v>3376526.43</v>
      </c>
      <c r="I75" s="161">
        <f t="shared" si="63"/>
        <v>3477822.2229000004</v>
      </c>
      <c r="J75" s="161">
        <f t="shared" si="63"/>
        <v>3582156.8895870005</v>
      </c>
      <c r="K75" s="161">
        <f t="shared" si="63"/>
        <v>3689621.5962746106</v>
      </c>
      <c r="L75" s="161">
        <f t="shared" si="63"/>
        <v>3800310.2441628492</v>
      </c>
      <c r="M75" s="161">
        <f t="shared" si="63"/>
        <v>3914319.5514877345</v>
      </c>
      <c r="N75" s="158"/>
      <c r="O75" s="43"/>
      <c r="P75" s="43"/>
      <c r="Q75" s="43"/>
      <c r="R75" s="43"/>
      <c r="S75" s="43"/>
      <c r="T75" s="43"/>
      <c r="U75" s="43"/>
      <c r="V75" s="43"/>
      <c r="W75" s="43"/>
    </row>
    <row r="76" spans="1:23" s="107" customFormat="1" x14ac:dyDescent="0.2">
      <c r="B76" s="176">
        <v>0.03</v>
      </c>
      <c r="D76" s="182">
        <f>B7</f>
        <v>200000</v>
      </c>
      <c r="E76" s="161">
        <f t="shared" ref="E76:M76" si="64">(D76*$B$76)+D76</f>
        <v>206000</v>
      </c>
      <c r="F76" s="161">
        <f t="shared" si="64"/>
        <v>212180</v>
      </c>
      <c r="G76" s="161">
        <f t="shared" si="64"/>
        <v>218545.4</v>
      </c>
      <c r="H76" s="161">
        <f t="shared" si="64"/>
        <v>225101.76199999999</v>
      </c>
      <c r="I76" s="161">
        <f t="shared" si="64"/>
        <v>231854.81485999998</v>
      </c>
      <c r="J76" s="161">
        <f t="shared" si="64"/>
        <v>238810.45930579997</v>
      </c>
      <c r="K76" s="161">
        <f t="shared" si="64"/>
        <v>245974.77308497397</v>
      </c>
      <c r="L76" s="161">
        <f t="shared" si="64"/>
        <v>253354.01627752319</v>
      </c>
      <c r="M76" s="161">
        <f t="shared" si="64"/>
        <v>260954.63676584887</v>
      </c>
      <c r="N76" s="158"/>
      <c r="O76" s="43"/>
      <c r="P76" s="43"/>
      <c r="Q76" s="43"/>
      <c r="R76" s="43"/>
      <c r="S76" s="43"/>
      <c r="T76" s="43"/>
      <c r="U76" s="43"/>
      <c r="V76" s="43"/>
      <c r="W76" s="43"/>
    </row>
    <row r="77" spans="1:23" s="107" customFormat="1" x14ac:dyDescent="0.2">
      <c r="D77" s="161"/>
      <c r="E77" s="161"/>
      <c r="F77" s="161"/>
      <c r="G77" s="161"/>
      <c r="H77" s="161"/>
      <c r="I77" s="161"/>
      <c r="J77" s="161"/>
      <c r="K77" s="161"/>
      <c r="L77" s="161"/>
      <c r="M77" s="161"/>
      <c r="N77" s="158"/>
      <c r="O77" s="43"/>
      <c r="P77" s="43"/>
      <c r="Q77" s="43"/>
      <c r="R77" s="43"/>
      <c r="S77" s="43"/>
      <c r="T77" s="43"/>
      <c r="U77" s="43"/>
      <c r="V77" s="43"/>
      <c r="W77" s="43"/>
    </row>
    <row r="78" spans="1:23" s="107" customFormat="1" ht="14.4" customHeight="1" x14ac:dyDescent="0.25">
      <c r="B78" s="160">
        <f>M74+1</f>
        <v>2037</v>
      </c>
      <c r="C78" s="160">
        <f t="shared" ref="C78:K78" si="65">B78+1</f>
        <v>2038</v>
      </c>
      <c r="D78" s="160">
        <f t="shared" si="65"/>
        <v>2039</v>
      </c>
      <c r="E78" s="160">
        <f t="shared" si="65"/>
        <v>2040</v>
      </c>
      <c r="F78" s="160">
        <f t="shared" si="65"/>
        <v>2041</v>
      </c>
      <c r="G78" s="160">
        <f t="shared" si="65"/>
        <v>2042</v>
      </c>
      <c r="H78" s="160">
        <f t="shared" si="65"/>
        <v>2043</v>
      </c>
      <c r="I78" s="160">
        <f t="shared" si="65"/>
        <v>2044</v>
      </c>
      <c r="J78" s="160">
        <f t="shared" si="65"/>
        <v>2045</v>
      </c>
      <c r="K78" s="160">
        <f t="shared" si="65"/>
        <v>2046</v>
      </c>
      <c r="O78" s="129"/>
      <c r="P78" s="129"/>
      <c r="Q78" s="129"/>
      <c r="R78" s="129"/>
      <c r="S78" s="162"/>
      <c r="T78" s="162"/>
      <c r="U78" s="162"/>
    </row>
    <row r="79" spans="1:23" x14ac:dyDescent="0.2">
      <c r="B79" s="161">
        <f>(M75*$B$76)+M75</f>
        <v>4031749.1380323665</v>
      </c>
      <c r="C79" s="161">
        <f t="shared" ref="C79:K79" si="66">(B79*$B$76)+B79</f>
        <v>4152701.6121733375</v>
      </c>
      <c r="D79" s="161">
        <f t="shared" si="66"/>
        <v>4277282.6605385374</v>
      </c>
      <c r="E79" s="161">
        <f t="shared" si="66"/>
        <v>4405601.1403546939</v>
      </c>
      <c r="F79" s="161">
        <f t="shared" si="66"/>
        <v>4537769.1745653348</v>
      </c>
      <c r="G79" s="161">
        <f t="shared" si="66"/>
        <v>4673902.2498022951</v>
      </c>
      <c r="H79" s="161">
        <f t="shared" si="66"/>
        <v>4814119.3172963643</v>
      </c>
      <c r="I79" s="161">
        <f t="shared" si="66"/>
        <v>4958542.8968152553</v>
      </c>
      <c r="J79" s="161">
        <f t="shared" si="66"/>
        <v>5107299.1837197132</v>
      </c>
      <c r="K79" s="164">
        <f t="shared" si="66"/>
        <v>5260518.1592313042</v>
      </c>
    </row>
    <row r="80" spans="1:23" x14ac:dyDescent="0.2">
      <c r="B80" s="161">
        <f>(M76*$B$76)+M76</f>
        <v>268783.27586882433</v>
      </c>
      <c r="C80" s="164">
        <f>(B80*$B$76)+B80</f>
        <v>276846.77414488909</v>
      </c>
      <c r="D80" s="107"/>
      <c r="E80" s="107"/>
      <c r="F80" s="107"/>
      <c r="G80" s="107"/>
      <c r="H80" s="107"/>
      <c r="I80" s="107"/>
      <c r="J80" s="107"/>
      <c r="K80" s="107"/>
    </row>
    <row r="81" spans="2:11" x14ac:dyDescent="0.2">
      <c r="B81" s="161"/>
      <c r="C81" s="161"/>
      <c r="D81" s="107"/>
      <c r="E81" s="107"/>
      <c r="F81" s="107"/>
      <c r="G81" s="107"/>
      <c r="H81" s="107"/>
      <c r="I81" s="107"/>
      <c r="J81" s="107"/>
      <c r="K81" s="107"/>
    </row>
    <row r="82" spans="2:11" ht="14.4" customHeight="1" x14ac:dyDescent="0.3"/>
    <row r="83" spans="2:11" ht="14.4" customHeight="1" x14ac:dyDescent="0.3"/>
    <row r="84" spans="2:11" ht="14.4" customHeight="1" x14ac:dyDescent="0.3"/>
    <row r="85" spans="2:11" ht="14.4" customHeight="1" x14ac:dyDescent="0.3"/>
    <row r="86" spans="2:11" ht="14.4" customHeight="1" x14ac:dyDescent="0.3"/>
    <row r="87" spans="2:11" ht="14.4" customHeight="1" x14ac:dyDescent="0.3"/>
    <row r="88" spans="2:11" ht="14.4" customHeight="1" x14ac:dyDescent="0.3"/>
    <row r="89" spans="2:11" ht="14.4" customHeight="1" x14ac:dyDescent="0.3"/>
    <row r="90" spans="2:11" ht="14.4" customHeight="1" x14ac:dyDescent="0.3"/>
    <row r="91" spans="2:11" ht="14.4" customHeight="1" x14ac:dyDescent="0.3"/>
    <row r="92" spans="2:11" ht="14.4" customHeight="1" x14ac:dyDescent="0.3"/>
    <row r="93" spans="2:11" ht="14.4" customHeight="1" x14ac:dyDescent="0.3"/>
    <row r="94" spans="2:11" ht="14.4" customHeight="1" x14ac:dyDescent="0.3"/>
    <row r="95" spans="2:11" ht="14.4" customHeight="1" x14ac:dyDescent="0.3"/>
    <row r="96" spans="2:11" ht="14.4" customHeight="1" x14ac:dyDescent="0.3"/>
  </sheetData>
  <sheetProtection sheet="1"/>
  <mergeCells count="4">
    <mergeCell ref="A75:C75"/>
    <mergeCell ref="G37:J37"/>
    <mergeCell ref="I2:J2"/>
    <mergeCell ref="F3:L3"/>
  </mergeCells>
  <dataValidations count="4">
    <dataValidation type="whole" operator="greaterThan" allowBlank="1" showErrorMessage="1" error="Enter a valid nonnegative value; useful life must be greater than zero." sqref="C6:C11" xr:uid="{00000000-0002-0000-0400-000000000000}">
      <formula1>0</formula1>
    </dataValidation>
    <dataValidation type="whole" operator="greaterThanOrEqual" allowBlank="1" showErrorMessage="1" error="Enter a valid nonnegative value; useful life must be greater than zero." sqref="D6:D11" xr:uid="{00000000-0002-0000-0400-000001000000}">
      <formula1>0</formula1>
    </dataValidation>
    <dataValidation type="decimal" operator="greaterThanOrEqual" allowBlank="1" showErrorMessage="1" error="Enter a valid nonnegative value; useful life must be greater than zero." sqref="B6:B11" xr:uid="{00000000-0002-0000-0400-000002000000}">
      <formula1>0</formula1>
    </dataValidation>
    <dataValidation type="decimal" allowBlank="1" showErrorMessage="1" error="Enter a valid nonnegative value; useful life must be greater than zero." sqref="B76" xr:uid="{00000000-0002-0000-0400-000003000000}">
      <formula1>0</formula1>
      <formula2>1</formula2>
    </dataValidation>
  </dataValidations>
  <pageMargins left="0.7" right="0.7" top="0.75" bottom="0.75" header="0.3" footer="0.3"/>
  <pageSetup scale="86"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Budget COMPLETED example</vt:lpstr>
      <vt:lpstr>Budget Active WORKSHEET</vt:lpstr>
      <vt:lpstr>Reserves COMPLETED example</vt:lpstr>
      <vt:lpstr>Reserves Active WORKSHEET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rick parrett</cp:lastModifiedBy>
  <cp:lastPrinted>2026-10-02T19:11:22Z</cp:lastPrinted>
  <dcterms:created xsi:type="dcterms:W3CDTF">2026-10-02T20:20:49Z</dcterms:created>
  <dcterms:modified xsi:type="dcterms:W3CDTF">2026-10-06T17:05:15Z</dcterms:modified>
</cp:coreProperties>
</file>